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etecnl-my.sharepoint.com/personal/l_driessen_cometec_nl/Documents/Chatbestanden van Microsoft Teams/"/>
    </mc:Choice>
  </mc:AlternateContent>
  <xr:revisionPtr revIDLastSave="49" documentId="8_{DD05961D-31CA-4083-8F87-0F5AE9D9DC5C}" xr6:coauthVersionLast="47" xr6:coauthVersionMax="47" xr10:uidLastSave="{7056E4F6-BE6E-43FA-B544-DEB24A2E083F}"/>
  <bookViews>
    <workbookView xWindow="28680" yWindow="-120" windowWidth="29040" windowHeight="16440" xr2:uid="{90702ACC-FCE8-9D40-861E-FA24B919AF77}"/>
  </bookViews>
  <sheets>
    <sheet name="2026" sheetId="4" r:id="rId1"/>
    <sheet name="2025" sheetId="1" r:id="rId2"/>
    <sheet name="2024" sheetId="3" r:id="rId3"/>
    <sheet name="202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F5" i="4"/>
  <c r="G5" i="4"/>
  <c r="H5" i="4"/>
  <c r="I5" i="4"/>
  <c r="J5" i="4"/>
  <c r="K5" i="4"/>
  <c r="L5" i="4"/>
  <c r="M5" i="4"/>
  <c r="N5" i="4"/>
  <c r="O5" i="4"/>
  <c r="P5" i="4"/>
  <c r="E5" i="4"/>
  <c r="E19" i="4"/>
  <c r="Q19" i="4"/>
  <c r="P19" i="4"/>
  <c r="O19" i="4"/>
  <c r="N19" i="4"/>
  <c r="M19" i="4"/>
  <c r="L19" i="4"/>
  <c r="K19" i="4"/>
  <c r="J19" i="4"/>
  <c r="I19" i="4"/>
  <c r="H19" i="4"/>
  <c r="G19" i="4"/>
  <c r="F19" i="4"/>
  <c r="Q18" i="4"/>
  <c r="Q20" i="4" s="1"/>
  <c r="P18" i="4"/>
  <c r="P20" i="4" s="1"/>
  <c r="O18" i="4"/>
  <c r="O20" i="4" s="1"/>
  <c r="N18" i="4"/>
  <c r="N20" i="4" s="1"/>
  <c r="M18" i="4"/>
  <c r="M20" i="4" s="1"/>
  <c r="L18" i="4"/>
  <c r="L20" i="4" s="1"/>
  <c r="K18" i="4"/>
  <c r="K20" i="4" s="1"/>
  <c r="J18" i="4"/>
  <c r="J20" i="4" s="1"/>
  <c r="I18" i="4"/>
  <c r="I20" i="4" s="1"/>
  <c r="H18" i="4"/>
  <c r="H20" i="4" s="1"/>
  <c r="G18" i="4"/>
  <c r="G20" i="4" s="1"/>
  <c r="F18" i="4"/>
  <c r="F20" i="4" s="1"/>
  <c r="E18" i="4"/>
  <c r="E20" i="4" s="1"/>
  <c r="Q15" i="4"/>
  <c r="P15" i="4"/>
  <c r="O15" i="4"/>
  <c r="N15" i="4"/>
  <c r="M15" i="4"/>
  <c r="L15" i="4"/>
  <c r="K15" i="4"/>
  <c r="J15" i="4"/>
  <c r="I15" i="4"/>
  <c r="H15" i="4"/>
  <c r="Q13" i="4"/>
  <c r="P13" i="4"/>
  <c r="O13" i="4"/>
  <c r="L13" i="4"/>
  <c r="K13" i="4"/>
  <c r="J13" i="4"/>
  <c r="I13" i="4"/>
  <c r="H13" i="4"/>
  <c r="Q8" i="4"/>
  <c r="P8" i="4"/>
  <c r="O8" i="4"/>
  <c r="N8" i="4"/>
  <c r="N13" i="4" s="1"/>
  <c r="M8" i="4"/>
  <c r="M13" i="4" s="1"/>
  <c r="L8" i="4"/>
  <c r="K8" i="4"/>
  <c r="J8" i="4"/>
  <c r="I8" i="4"/>
  <c r="H8" i="4"/>
  <c r="G8" i="4"/>
  <c r="G13" i="4" s="1"/>
  <c r="F8" i="4"/>
  <c r="F13" i="4" s="1"/>
  <c r="E8" i="4"/>
  <c r="F4" i="4"/>
  <c r="G4" i="4" s="1"/>
  <c r="H3" i="4" s="1"/>
  <c r="G3" i="4"/>
  <c r="F3" i="4"/>
  <c r="Q19" i="3"/>
  <c r="Q22" i="3" s="1"/>
  <c r="P19" i="3"/>
  <c r="O19" i="3"/>
  <c r="N19" i="3"/>
  <c r="M19" i="3"/>
  <c r="L19" i="3"/>
  <c r="L22" i="3" s="1"/>
  <c r="K19" i="3"/>
  <c r="K22" i="3" s="1"/>
  <c r="J19" i="3"/>
  <c r="J22" i="3" s="1"/>
  <c r="I19" i="3"/>
  <c r="I22" i="3" s="1"/>
  <c r="H19" i="3"/>
  <c r="G19" i="3"/>
  <c r="F19" i="3"/>
  <c r="E19" i="3"/>
  <c r="E22" i="3" s="1"/>
  <c r="Q18" i="3"/>
  <c r="Q20" i="3" s="1"/>
  <c r="P18" i="3"/>
  <c r="P20" i="3" s="1"/>
  <c r="P21" i="3" s="1"/>
  <c r="O18" i="3"/>
  <c r="O20" i="3" s="1"/>
  <c r="N18" i="3"/>
  <c r="N20" i="3" s="1"/>
  <c r="N21" i="3" s="1"/>
  <c r="M18" i="3"/>
  <c r="M20" i="3" s="1"/>
  <c r="M21" i="3" s="1"/>
  <c r="L18" i="3"/>
  <c r="L20" i="3" s="1"/>
  <c r="K18" i="3"/>
  <c r="K20" i="3" s="1"/>
  <c r="J18" i="3"/>
  <c r="J20" i="3" s="1"/>
  <c r="I18" i="3"/>
  <c r="I20" i="3" s="1"/>
  <c r="H18" i="3"/>
  <c r="H20" i="3" s="1"/>
  <c r="H21" i="3" s="1"/>
  <c r="G18" i="3"/>
  <c r="G20" i="3" s="1"/>
  <c r="G21" i="3" s="1"/>
  <c r="F18" i="3"/>
  <c r="F20" i="3" s="1"/>
  <c r="F21" i="3" s="1"/>
  <c r="E18" i="3"/>
  <c r="E20" i="3" s="1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Q13" i="3"/>
  <c r="P13" i="3"/>
  <c r="I13" i="3"/>
  <c r="H13" i="3"/>
  <c r="G13" i="3"/>
  <c r="F13" i="3"/>
  <c r="E13" i="3"/>
  <c r="Q8" i="3"/>
  <c r="P8" i="3"/>
  <c r="O8" i="3"/>
  <c r="O13" i="3" s="1"/>
  <c r="N8" i="3"/>
  <c r="N13" i="3" s="1"/>
  <c r="M8" i="3"/>
  <c r="M13" i="3" s="1"/>
  <c r="L8" i="3"/>
  <c r="L13" i="3" s="1"/>
  <c r="K8" i="3"/>
  <c r="K13" i="3" s="1"/>
  <c r="J8" i="3"/>
  <c r="J13" i="3" s="1"/>
  <c r="I8" i="3"/>
  <c r="H8" i="3"/>
  <c r="G8" i="3"/>
  <c r="F8" i="3"/>
  <c r="E8" i="3"/>
  <c r="Q5" i="3"/>
  <c r="P5" i="3"/>
  <c r="O5" i="3"/>
  <c r="N5" i="3"/>
  <c r="M5" i="3"/>
  <c r="L5" i="3"/>
  <c r="K5" i="3"/>
  <c r="J5" i="3"/>
  <c r="I5" i="3"/>
  <c r="H5" i="3"/>
  <c r="G5" i="3"/>
  <c r="F5" i="3"/>
  <c r="E5" i="3"/>
  <c r="F4" i="3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H3" i="3"/>
  <c r="I3" i="3" s="1"/>
  <c r="J3" i="3" s="1"/>
  <c r="K3" i="3" s="1"/>
  <c r="L3" i="3" s="1"/>
  <c r="M3" i="3" s="1"/>
  <c r="N3" i="3" s="1"/>
  <c r="O3" i="3" s="1"/>
  <c r="P3" i="3" s="1"/>
  <c r="Q3" i="3" s="1"/>
  <c r="F15" i="4" l="1"/>
  <c r="S6" i="4"/>
  <c r="S20" i="4" s="1"/>
  <c r="G15" i="4"/>
  <c r="E15" i="4"/>
  <c r="G22" i="4"/>
  <c r="F22" i="4"/>
  <c r="H22" i="4"/>
  <c r="K22" i="4"/>
  <c r="L22" i="4"/>
  <c r="M22" i="4"/>
  <c r="N22" i="4"/>
  <c r="O22" i="4"/>
  <c r="Q22" i="4"/>
  <c r="I22" i="4"/>
  <c r="J22" i="4"/>
  <c r="P22" i="4"/>
  <c r="E13" i="4"/>
  <c r="E21" i="4"/>
  <c r="Q21" i="4"/>
  <c r="E22" i="4"/>
  <c r="I21" i="3"/>
  <c r="S11" i="3" s="1"/>
  <c r="J21" i="3"/>
  <c r="N22" i="3"/>
  <c r="O21" i="3"/>
  <c r="P22" i="3"/>
  <c r="G22" i="3"/>
  <c r="M22" i="3"/>
  <c r="K21" i="3"/>
  <c r="L21" i="3"/>
  <c r="S6" i="3"/>
  <c r="S20" i="3" s="1"/>
  <c r="Q21" i="3"/>
  <c r="F22" i="3"/>
  <c r="E21" i="3"/>
  <c r="H22" i="3"/>
  <c r="F21" i="4"/>
  <c r="G21" i="4"/>
  <c r="K21" i="4"/>
  <c r="H21" i="4"/>
  <c r="I21" i="4"/>
  <c r="J21" i="4"/>
  <c r="L21" i="4"/>
  <c r="M21" i="4"/>
  <c r="N21" i="4"/>
  <c r="O21" i="4"/>
  <c r="P21" i="4"/>
  <c r="H4" i="4"/>
  <c r="O22" i="3"/>
  <c r="S18" i="3" s="1"/>
  <c r="S13" i="4" l="1"/>
  <c r="S18" i="4"/>
  <c r="S22" i="4" s="1"/>
  <c r="S11" i="4"/>
  <c r="S15" i="3"/>
  <c r="S22" i="3"/>
  <c r="S13" i="3"/>
  <c r="I3" i="4"/>
  <c r="I4" i="4"/>
  <c r="F3" i="1"/>
  <c r="E5" i="1"/>
  <c r="Q5" i="1"/>
  <c r="P5" i="1"/>
  <c r="O5" i="1"/>
  <c r="N5" i="1"/>
  <c r="M5" i="1"/>
  <c r="L5" i="1"/>
  <c r="K5" i="1"/>
  <c r="J5" i="1"/>
  <c r="I5" i="1"/>
  <c r="H5" i="1"/>
  <c r="G5" i="1"/>
  <c r="F5" i="1"/>
  <c r="Q19" i="2"/>
  <c r="P19" i="2"/>
  <c r="O19" i="2"/>
  <c r="N19" i="2"/>
  <c r="M19" i="2"/>
  <c r="L19" i="2"/>
  <c r="K19" i="2"/>
  <c r="J19" i="2"/>
  <c r="J22" i="2" s="1"/>
  <c r="I19" i="2"/>
  <c r="I22" i="2" s="1"/>
  <c r="H19" i="2"/>
  <c r="H22" i="2" s="1"/>
  <c r="G19" i="2"/>
  <c r="F19" i="2"/>
  <c r="E19" i="2"/>
  <c r="Q18" i="2"/>
  <c r="Q20" i="2" s="1"/>
  <c r="P18" i="2"/>
  <c r="P20" i="2" s="1"/>
  <c r="O18" i="2"/>
  <c r="O20" i="2" s="1"/>
  <c r="N18" i="2"/>
  <c r="N20" i="2" s="1"/>
  <c r="M18" i="2"/>
  <c r="M20" i="2" s="1"/>
  <c r="L18" i="2"/>
  <c r="L20" i="2" s="1"/>
  <c r="K18" i="2"/>
  <c r="K20" i="2" s="1"/>
  <c r="J18" i="2"/>
  <c r="J20" i="2" s="1"/>
  <c r="I18" i="2"/>
  <c r="I20" i="2" s="1"/>
  <c r="H18" i="2"/>
  <c r="H20" i="2" s="1"/>
  <c r="G18" i="2"/>
  <c r="G20" i="2" s="1"/>
  <c r="F18" i="2"/>
  <c r="F20" i="2" s="1"/>
  <c r="E18" i="2"/>
  <c r="E20" i="2" s="1"/>
  <c r="E21" i="2" s="1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O13" i="2"/>
  <c r="N13" i="2"/>
  <c r="K13" i="2"/>
  <c r="J13" i="2"/>
  <c r="I13" i="2"/>
  <c r="Q8" i="2"/>
  <c r="Q13" i="2" s="1"/>
  <c r="P8" i="2"/>
  <c r="P13" i="2" s="1"/>
  <c r="O8" i="2"/>
  <c r="N8" i="2"/>
  <c r="M8" i="2"/>
  <c r="M13" i="2" s="1"/>
  <c r="L8" i="2"/>
  <c r="L13" i="2" s="1"/>
  <c r="K8" i="2"/>
  <c r="J8" i="2"/>
  <c r="I8" i="2"/>
  <c r="H8" i="2"/>
  <c r="H13" i="2" s="1"/>
  <c r="G8" i="2"/>
  <c r="G13" i="2" s="1"/>
  <c r="F8" i="2"/>
  <c r="F13" i="2" s="1"/>
  <c r="E8" i="2"/>
  <c r="E13" i="2" s="1"/>
  <c r="S6" i="2"/>
  <c r="S13" i="2" s="1"/>
  <c r="Q5" i="2"/>
  <c r="P5" i="2"/>
  <c r="O5" i="2"/>
  <c r="N5" i="2"/>
  <c r="M5" i="2"/>
  <c r="L5" i="2"/>
  <c r="K5" i="2"/>
  <c r="J5" i="2"/>
  <c r="I5" i="2"/>
  <c r="H5" i="2"/>
  <c r="G5" i="2"/>
  <c r="F5" i="2"/>
  <c r="E5" i="2"/>
  <c r="F4" i="2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H3" i="2"/>
  <c r="I3" i="2" s="1"/>
  <c r="J3" i="2" s="1"/>
  <c r="K3" i="2" s="1"/>
  <c r="L3" i="2" s="1"/>
  <c r="M3" i="2" s="1"/>
  <c r="N3" i="2" s="1"/>
  <c r="O3" i="2" s="1"/>
  <c r="P3" i="2" s="1"/>
  <c r="Q3" i="2" s="1"/>
  <c r="S15" i="4" l="1"/>
  <c r="F21" i="2"/>
  <c r="H21" i="2"/>
  <c r="I21" i="2"/>
  <c r="J21" i="2"/>
  <c r="K21" i="2"/>
  <c r="L21" i="2"/>
  <c r="M21" i="2"/>
  <c r="N21" i="2"/>
  <c r="O21" i="2"/>
  <c r="G21" i="2"/>
  <c r="P21" i="2"/>
  <c r="Q21" i="2"/>
  <c r="J3" i="4"/>
  <c r="J4" i="4"/>
  <c r="K22" i="2"/>
  <c r="S11" i="2"/>
  <c r="S15" i="2" s="1"/>
  <c r="L22" i="2"/>
  <c r="M22" i="2"/>
  <c r="N22" i="2"/>
  <c r="E22" i="2"/>
  <c r="O22" i="2"/>
  <c r="F22" i="2"/>
  <c r="P22" i="2"/>
  <c r="G22" i="2"/>
  <c r="Q22" i="2"/>
  <c r="S20" i="2"/>
  <c r="K3" i="4" l="1"/>
  <c r="K4" i="4"/>
  <c r="S18" i="2"/>
  <c r="S22" i="2" s="1"/>
  <c r="L3" i="4" l="1"/>
  <c r="L4" i="4"/>
  <c r="E19" i="1"/>
  <c r="E8" i="1"/>
  <c r="E13" i="1" s="1"/>
  <c r="H13" i="1"/>
  <c r="M19" i="1"/>
  <c r="Q19" i="1"/>
  <c r="P19" i="1"/>
  <c r="F18" i="1"/>
  <c r="F20" i="1" s="1"/>
  <c r="G18" i="1"/>
  <c r="G20" i="1" s="1"/>
  <c r="H18" i="1"/>
  <c r="H20" i="1" s="1"/>
  <c r="I18" i="1"/>
  <c r="I20" i="1" s="1"/>
  <c r="J18" i="1"/>
  <c r="J20" i="1" s="1"/>
  <c r="K18" i="1"/>
  <c r="K20" i="1" s="1"/>
  <c r="L18" i="1"/>
  <c r="L20" i="1" s="1"/>
  <c r="M18" i="1"/>
  <c r="M20" i="1" s="1"/>
  <c r="N18" i="1"/>
  <c r="N20" i="1" s="1"/>
  <c r="O18" i="1"/>
  <c r="O20" i="1" s="1"/>
  <c r="P18" i="1"/>
  <c r="P20" i="1" s="1"/>
  <c r="Q18" i="1"/>
  <c r="Q20" i="1" s="1"/>
  <c r="E18" i="1"/>
  <c r="E20" i="1" s="1"/>
  <c r="H8" i="1"/>
  <c r="M3" i="4" l="1"/>
  <c r="M4" i="4"/>
  <c r="E15" i="1"/>
  <c r="H15" i="1"/>
  <c r="F8" i="1"/>
  <c r="F13" i="1" s="1"/>
  <c r="G8" i="1"/>
  <c r="G13" i="1" s="1"/>
  <c r="I8" i="1"/>
  <c r="I13" i="1" s="1"/>
  <c r="J8" i="1"/>
  <c r="J13" i="1" s="1"/>
  <c r="K8" i="1"/>
  <c r="K13" i="1" s="1"/>
  <c r="L8" i="1"/>
  <c r="L13" i="1" s="1"/>
  <c r="M8" i="1"/>
  <c r="M13" i="1" s="1"/>
  <c r="N8" i="1"/>
  <c r="N13" i="1" s="1"/>
  <c r="O8" i="1"/>
  <c r="O13" i="1" s="1"/>
  <c r="P8" i="1"/>
  <c r="P13" i="1" s="1"/>
  <c r="Q8" i="1"/>
  <c r="Q13" i="1" s="1"/>
  <c r="N3" i="4" l="1"/>
  <c r="N4" i="4"/>
  <c r="S6" i="1"/>
  <c r="S13" i="1" s="1"/>
  <c r="Q15" i="1"/>
  <c r="O15" i="1"/>
  <c r="K15" i="1"/>
  <c r="J15" i="1"/>
  <c r="L15" i="1"/>
  <c r="I15" i="1"/>
  <c r="P15" i="1"/>
  <c r="M15" i="1"/>
  <c r="G15" i="1"/>
  <c r="N15" i="1"/>
  <c r="F15" i="1"/>
  <c r="E21" i="1"/>
  <c r="F19" i="1"/>
  <c r="F22" i="1" s="1"/>
  <c r="G19" i="1"/>
  <c r="H19" i="1"/>
  <c r="I19" i="1"/>
  <c r="J19" i="1"/>
  <c r="K19" i="1"/>
  <c r="L19" i="1"/>
  <c r="N19" i="1"/>
  <c r="O19" i="1"/>
  <c r="F4" i="1"/>
  <c r="Q22" i="1"/>
  <c r="G4" i="1" l="1"/>
  <c r="G3" i="1"/>
  <c r="O4" i="4"/>
  <c r="O3" i="4"/>
  <c r="E22" i="1"/>
  <c r="H22" i="1"/>
  <c r="Q21" i="1"/>
  <c r="H21" i="1"/>
  <c r="F21" i="1"/>
  <c r="K22" i="1"/>
  <c r="N22" i="1"/>
  <c r="P22" i="1"/>
  <c r="O22" i="1"/>
  <c r="I22" i="1"/>
  <c r="M22" i="1"/>
  <c r="L22" i="1"/>
  <c r="J22" i="1"/>
  <c r="G22" i="1"/>
  <c r="H4" i="1" l="1"/>
  <c r="H3" i="1"/>
  <c r="P3" i="4"/>
  <c r="P4" i="4"/>
  <c r="Q3" i="4" s="1"/>
  <c r="S18" i="1"/>
  <c r="S20" i="1"/>
  <c r="P21" i="1"/>
  <c r="O21" i="1"/>
  <c r="N21" i="1"/>
  <c r="M21" i="1"/>
  <c r="L21" i="1"/>
  <c r="K21" i="1"/>
  <c r="J21" i="1"/>
  <c r="I21" i="1"/>
  <c r="G21" i="1"/>
  <c r="I4" i="1" l="1"/>
  <c r="I3" i="1"/>
  <c r="S11" i="1"/>
  <c r="S15" i="1" s="1"/>
  <c r="S22" i="1"/>
  <c r="J4" i="1" l="1"/>
  <c r="J3" i="1"/>
  <c r="K4" i="1" l="1"/>
  <c r="K3" i="1"/>
  <c r="L4" i="1" l="1"/>
  <c r="L3" i="1"/>
  <c r="M4" i="1" l="1"/>
  <c r="M3" i="1"/>
  <c r="N4" i="1" l="1"/>
  <c r="N3" i="1"/>
  <c r="O4" i="1" l="1"/>
  <c r="O3" i="1"/>
  <c r="P4" i="1" l="1"/>
  <c r="Q3" i="1" s="1"/>
  <c r="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Driessen</author>
  </authors>
  <commentList>
    <comment ref="D10" authorId="0" shapeId="0" xr:uid="{9A20B8F8-EE0D-44D3-B86C-111CBE7B0270}">
      <text>
        <r>
          <rPr>
            <b/>
            <sz val="9"/>
            <color indexed="81"/>
            <rFont val="Tahoma"/>
            <family val="2"/>
          </rPr>
          <t>Lars Driessen:</t>
        </r>
        <r>
          <rPr>
            <sz val="9"/>
            <color indexed="81"/>
            <rFont val="Tahoma"/>
            <family val="2"/>
          </rPr>
          <t xml:space="preserve">
Extra loon voorgaand jaar = Loon in geld - Bijzondere beloning - Contractloon.</t>
        </r>
      </text>
    </comment>
    <comment ref="D11" authorId="0" shapeId="0" xr:uid="{1C628CE7-9A03-4B85-88A2-77099CC82041}">
      <text>
        <r>
          <rPr>
            <b/>
            <sz val="9"/>
            <color indexed="81"/>
            <rFont val="Tahoma"/>
            <family val="2"/>
          </rPr>
          <t xml:space="preserve">Lars Driessen
</t>
        </r>
        <r>
          <rPr>
            <sz val="9"/>
            <color indexed="81"/>
            <rFont val="Tahoma"/>
            <family val="2"/>
          </rPr>
          <t>Bijzondere beloning voorgaand jaar = Bijzondere beloning - vakantiegeld - arbeids-voorwaardebepaling - overwerk.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Driessen</author>
  </authors>
  <commentList>
    <comment ref="D10" authorId="0" shapeId="0" xr:uid="{757491E2-D54C-4FB0-8193-76084EA5B01A}">
      <text>
        <r>
          <rPr>
            <b/>
            <sz val="9"/>
            <color indexed="81"/>
            <rFont val="Tahoma"/>
            <family val="2"/>
          </rPr>
          <t>Lars Driessen:</t>
        </r>
        <r>
          <rPr>
            <sz val="9"/>
            <color indexed="81"/>
            <rFont val="Tahoma"/>
            <family val="2"/>
          </rPr>
          <t xml:space="preserve">
Extra loon voorgaand jaar = Loon in geld - Bijzondere beloning - Contractloon.</t>
        </r>
      </text>
    </comment>
    <comment ref="D11" authorId="0" shapeId="0" xr:uid="{1DABF79C-C92C-479B-A55D-2DAE13595AEA}">
      <text>
        <r>
          <rPr>
            <b/>
            <sz val="9"/>
            <color indexed="81"/>
            <rFont val="Tahoma"/>
            <family val="2"/>
          </rPr>
          <t xml:space="preserve">Lars Driessen
</t>
        </r>
        <r>
          <rPr>
            <sz val="9"/>
            <color indexed="81"/>
            <rFont val="Tahoma"/>
            <family val="2"/>
          </rPr>
          <t>Bijzondere beloning voorgaand jaar = Bijzondere beloning - vakantiegeld - arbeids-voorwaardebepaling - overwerk.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Driessen</author>
  </authors>
  <commentList>
    <comment ref="D10" authorId="0" shapeId="0" xr:uid="{7DD4A7AD-8EFA-41AD-BC58-2F45875CA27E}">
      <text>
        <r>
          <rPr>
            <b/>
            <sz val="9"/>
            <color indexed="81"/>
            <rFont val="Tahoma"/>
            <family val="2"/>
          </rPr>
          <t>Lars Driessen:</t>
        </r>
        <r>
          <rPr>
            <sz val="9"/>
            <color indexed="81"/>
            <rFont val="Tahoma"/>
            <family val="2"/>
          </rPr>
          <t xml:space="preserve">
Extra loon voorgaand jaar = Loon in geld - Bijzondere beloning - Contractloon.</t>
        </r>
      </text>
    </comment>
    <comment ref="D11" authorId="0" shapeId="0" xr:uid="{0F690E7F-8CD5-42DF-BBB3-283B33608F81}">
      <text>
        <r>
          <rPr>
            <b/>
            <sz val="9"/>
            <color indexed="81"/>
            <rFont val="Tahoma"/>
            <family val="2"/>
          </rPr>
          <t xml:space="preserve">Lars Driessen
</t>
        </r>
        <r>
          <rPr>
            <sz val="9"/>
            <color indexed="81"/>
            <rFont val="Tahoma"/>
            <family val="2"/>
          </rPr>
          <t>Bijzondere beloning voorgaand jaar = Bijzondere beloning - vakantiegeld - arbeids-voorwaardebepaling - overwerk.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Driessen</author>
  </authors>
  <commentList>
    <comment ref="D10" authorId="0" shapeId="0" xr:uid="{6A32FC2E-06FC-284B-B717-29108717B4DE}">
      <text>
        <r>
          <rPr>
            <b/>
            <sz val="9"/>
            <color indexed="81"/>
            <rFont val="Tahoma"/>
            <family val="2"/>
          </rPr>
          <t>Lars Driessen:</t>
        </r>
        <r>
          <rPr>
            <sz val="9"/>
            <color indexed="81"/>
            <rFont val="Tahoma"/>
            <family val="2"/>
          </rPr>
          <t xml:space="preserve">
Extra loon voorgaand jaar = Loon in geld - Bijzondere beloning - Contractloon.</t>
        </r>
      </text>
    </comment>
    <comment ref="D11" authorId="0" shapeId="0" xr:uid="{FB56FAA2-FA5F-CF40-90FA-DB560473AD4C}">
      <text>
        <r>
          <rPr>
            <b/>
            <sz val="9"/>
            <color indexed="81"/>
            <rFont val="Tahoma"/>
            <family val="2"/>
          </rPr>
          <t xml:space="preserve">Lars Driessen
</t>
        </r>
        <r>
          <rPr>
            <sz val="9"/>
            <color indexed="81"/>
            <rFont val="Tahoma"/>
            <family val="2"/>
          </rPr>
          <t>Bijzondere beloning voorgaand jaar = Bijzondere beloning - vakantiegeld - arbeids-voorwaardebepaling - overwerk.</t>
        </r>
      </text>
    </comment>
  </commentList>
</comments>
</file>

<file path=xl/sharedStrings.xml><?xml version="1.0" encoding="utf-8"?>
<sst xmlns="http://schemas.openxmlformats.org/spreadsheetml/2006/main" count="144" uniqueCount="34">
  <si>
    <t>Bijzondere beloning</t>
  </si>
  <si>
    <t xml:space="preserve">Geschat jaarloon </t>
  </si>
  <si>
    <t>Premie WIA</t>
  </si>
  <si>
    <t>Premie WEX</t>
  </si>
  <si>
    <t xml:space="preserve">Definitief jaarloon </t>
  </si>
  <si>
    <t>Premie WIA definitief</t>
  </si>
  <si>
    <t>Oproepkracht</t>
  </si>
  <si>
    <t>Maand</t>
  </si>
  <si>
    <t xml:space="preserve">Factor </t>
  </si>
  <si>
    <t>Contractant</t>
  </si>
  <si>
    <t>Premiedagen</t>
  </si>
  <si>
    <t xml:space="preserve">Oproepkracht </t>
  </si>
  <si>
    <t>Start periode</t>
  </si>
  <si>
    <t>Eind periode</t>
  </si>
  <si>
    <t>Premie WIA geschat</t>
  </si>
  <si>
    <t>Premie WEX geschat</t>
  </si>
  <si>
    <t>Verschil</t>
  </si>
  <si>
    <t>Premie WEX definitief</t>
  </si>
  <si>
    <t xml:space="preserve">WIA premie </t>
  </si>
  <si>
    <t>WEX premie</t>
  </si>
  <si>
    <t>Max SV-loon</t>
  </si>
  <si>
    <t>Opbouw arbeidsvoorwaardebelang</t>
  </si>
  <si>
    <t>Opname arbeidsvoorwaardebelang</t>
  </si>
  <si>
    <t>Bedrag vakantietoeslag</t>
  </si>
  <si>
    <t>Bedrag opgebouwd recht vakantietoeslag</t>
  </si>
  <si>
    <t>Bedrag loon</t>
  </si>
  <si>
    <t>Bedrag contractloon</t>
  </si>
  <si>
    <t>Periode loon (oproepkracht)</t>
  </si>
  <si>
    <t>Loon uit overwerk</t>
  </si>
  <si>
    <t>Voorschot extra loon voorgaand jaar</t>
  </si>
  <si>
    <t>Voorschot bijzondere beloning voorgaand jaar</t>
  </si>
  <si>
    <t>Geen 13e maand</t>
  </si>
  <si>
    <t>Opbouw vakantiegeld</t>
  </si>
  <si>
    <t>Geen vakantiegeld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</si>
</sst>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 [$€-413]\ * #,##0.00_ ;_ [$€-413]\ * \-#,##0.00_ ;_ [$€-413]\ * &quot;-&quot;??_ ;_ @_ "/>
    <numFmt numFmtId="166" formatCode="0.000%"/>
    <numFmt numFmtId="167" formatCode="0.0000%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sz val="12"/>
      <color rgb="FFFEA9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FEA9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2"/>
      <color theme="6" tint="0.399975585192419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Font="1"/>
    <xf numFmtId="0" fontId="0" fillId="4" borderId="0" xfId="0" applyFill="1"/>
    <xf numFmtId="0" fontId="2" fillId="3" borderId="0" xfId="0" applyFont="1" applyFill="1"/>
    <xf numFmtId="0" fontId="3" fillId="2" borderId="0" xfId="0" applyFont="1" applyFill="1"/>
    <xf numFmtId="165" fontId="0" fillId="0" borderId="0" xfId="0" applyNumberFormat="1"/>
    <xf numFmtId="14" fontId="0" fillId="0" borderId="0" xfId="0" applyNumberFormat="1"/>
    <xf numFmtId="44" fontId="0" fillId="5" borderId="0" xfId="0" applyNumberFormat="1" applyFill="1"/>
    <xf numFmtId="165" fontId="0" fillId="4" borderId="0" xfId="0" applyNumberFormat="1" applyFill="1"/>
    <xf numFmtId="164" fontId="0" fillId="4" borderId="0" xfId="1" applyFont="1" applyFill="1" applyBorder="1"/>
    <xf numFmtId="1" fontId="0" fillId="9" borderId="0" xfId="0" applyNumberFormat="1" applyFill="1"/>
    <xf numFmtId="165" fontId="0" fillId="9" borderId="0" xfId="0" applyNumberFormat="1" applyFill="1"/>
    <xf numFmtId="0" fontId="5" fillId="6" borderId="0" xfId="0" applyFont="1" applyFill="1"/>
    <xf numFmtId="14" fontId="5" fillId="6" borderId="0" xfId="0" applyNumberFormat="1" applyFont="1" applyFill="1"/>
    <xf numFmtId="0" fontId="7" fillId="7" borderId="0" xfId="0" applyFont="1" applyFill="1"/>
    <xf numFmtId="0" fontId="7" fillId="6" borderId="0" xfId="0" applyFont="1" applyFill="1"/>
    <xf numFmtId="14" fontId="8" fillId="6" borderId="0" xfId="0" applyNumberFormat="1" applyFont="1" applyFill="1"/>
    <xf numFmtId="0" fontId="6" fillId="8" borderId="0" xfId="0" applyFont="1" applyFill="1"/>
    <xf numFmtId="0" fontId="0" fillId="0" borderId="0" xfId="0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6" fillId="8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4" fillId="10" borderId="0" xfId="0" applyFont="1" applyFill="1"/>
    <xf numFmtId="14" fontId="4" fillId="10" borderId="0" xfId="0" applyNumberFormat="1" applyFont="1" applyFill="1"/>
    <xf numFmtId="0" fontId="0" fillId="11" borderId="0" xfId="0" applyFill="1" applyAlignment="1">
      <alignment vertical="center" wrapText="1"/>
    </xf>
    <xf numFmtId="0" fontId="0" fillId="11" borderId="0" xfId="0" applyFill="1"/>
    <xf numFmtId="0" fontId="2" fillId="11" borderId="0" xfId="0" applyFont="1" applyFill="1"/>
    <xf numFmtId="0" fontId="2" fillId="3" borderId="0" xfId="0" applyFont="1" applyFill="1" applyAlignment="1">
      <alignment horizontal="left" vertical="center" wrapText="1"/>
    </xf>
    <xf numFmtId="164" fontId="8" fillId="6" borderId="0" xfId="1" applyFont="1" applyFill="1"/>
    <xf numFmtId="0" fontId="11" fillId="11" borderId="0" xfId="0" applyFont="1" applyFill="1"/>
    <xf numFmtId="0" fontId="11" fillId="0" borderId="0" xfId="0" applyFont="1"/>
    <xf numFmtId="166" fontId="8" fillId="6" borderId="0" xfId="0" applyNumberFormat="1" applyFont="1" applyFill="1"/>
    <xf numFmtId="167" fontId="8" fillId="6" borderId="0" xfId="0" applyNumberFormat="1" applyFont="1" applyFill="1"/>
    <xf numFmtId="0" fontId="12" fillId="10" borderId="0" xfId="0" applyFont="1" applyFill="1"/>
    <xf numFmtId="14" fontId="12" fillId="10" borderId="0" xfId="0" applyNumberFormat="1" applyFont="1" applyFill="1"/>
    <xf numFmtId="44" fontId="0" fillId="3" borderId="1" xfId="0" applyNumberFormat="1" applyFill="1" applyBorder="1"/>
    <xf numFmtId="2" fontId="0" fillId="9" borderId="0" xfId="0" applyNumberFormat="1" applyFill="1"/>
    <xf numFmtId="0" fontId="7" fillId="6" borderId="1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EA9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8A73-0FDE-43D1-9339-A8B9E5B33336}">
  <dimension ref="A1:T29"/>
  <sheetViews>
    <sheetView tabSelected="1" zoomScale="90" zoomScaleNormal="90" workbookViewId="0">
      <selection activeCell="G23" sqref="G23"/>
    </sheetView>
  </sheetViews>
  <sheetFormatPr defaultColWidth="11" defaultRowHeight="15.75" x14ac:dyDescent="0.25"/>
  <cols>
    <col min="1" max="1" width="2.625" customWidth="1"/>
    <col min="2" max="2" width="20" bestFit="1" customWidth="1"/>
    <col min="3" max="3" width="2.625" customWidth="1"/>
    <col min="4" max="4" width="41.5" bestFit="1" customWidth="1"/>
    <col min="5" max="17" width="12.125" bestFit="1" customWidth="1"/>
    <col min="18" max="18" width="2.625" customWidth="1"/>
    <col min="19" max="19" width="19.875" bestFit="1" customWidth="1"/>
    <col min="20" max="20" width="2.625" customWidth="1"/>
  </cols>
  <sheetData>
    <row r="1" spans="1:20" s="30" customFormat="1" x14ac:dyDescent="0.25">
      <c r="A1" s="29"/>
      <c r="B1" s="29"/>
      <c r="C1" s="29"/>
      <c r="D1" s="22" t="s">
        <v>9</v>
      </c>
      <c r="E1" s="23">
        <v>46023</v>
      </c>
      <c r="F1" s="23">
        <v>46054</v>
      </c>
      <c r="G1" s="23">
        <v>46082</v>
      </c>
      <c r="H1" s="23">
        <v>46113</v>
      </c>
      <c r="I1" s="23">
        <v>46143</v>
      </c>
      <c r="J1" s="23">
        <v>46174</v>
      </c>
      <c r="K1" s="23">
        <v>46204</v>
      </c>
      <c r="L1" s="23">
        <v>46235</v>
      </c>
      <c r="M1" s="23">
        <v>46266</v>
      </c>
      <c r="N1" s="23">
        <v>46296</v>
      </c>
      <c r="O1" s="23">
        <v>46327</v>
      </c>
      <c r="P1" s="23">
        <v>46357</v>
      </c>
      <c r="Q1" s="23"/>
      <c r="R1" s="29"/>
      <c r="S1" s="29"/>
      <c r="T1" s="29"/>
    </row>
    <row r="2" spans="1:20" s="30" customFormat="1" x14ac:dyDescent="0.25">
      <c r="A2" s="29"/>
      <c r="B2" s="29"/>
      <c r="C2" s="29"/>
      <c r="D2" s="22" t="s">
        <v>9</v>
      </c>
      <c r="E2" s="23">
        <v>46053</v>
      </c>
      <c r="F2" s="23">
        <v>46081</v>
      </c>
      <c r="G2" s="23">
        <v>46112</v>
      </c>
      <c r="H2" s="23">
        <v>46142</v>
      </c>
      <c r="I2" s="23">
        <v>46173</v>
      </c>
      <c r="J2" s="23">
        <v>46203</v>
      </c>
      <c r="K2" s="23">
        <v>46234</v>
      </c>
      <c r="L2" s="23">
        <v>46265</v>
      </c>
      <c r="M2" s="23">
        <v>46295</v>
      </c>
      <c r="N2" s="23">
        <v>46326</v>
      </c>
      <c r="O2" s="23">
        <v>46356</v>
      </c>
      <c r="P2" s="23">
        <v>46387</v>
      </c>
      <c r="Q2" s="23"/>
      <c r="R2" s="29"/>
      <c r="S2" s="29"/>
      <c r="T2" s="29"/>
    </row>
    <row r="3" spans="1:20" s="30" customFormat="1" x14ac:dyDescent="0.25">
      <c r="A3" s="29"/>
      <c r="B3" s="29"/>
      <c r="C3" s="29"/>
      <c r="D3" s="22" t="s">
        <v>6</v>
      </c>
      <c r="E3" s="23">
        <v>46023</v>
      </c>
      <c r="F3" s="23">
        <f>E4+1</f>
        <v>46048</v>
      </c>
      <c r="G3" s="23">
        <f t="shared" ref="G3:Q3" si="0">F4+1</f>
        <v>46076</v>
      </c>
      <c r="H3" s="23">
        <f t="shared" si="0"/>
        <v>46104</v>
      </c>
      <c r="I3" s="23">
        <f t="shared" si="0"/>
        <v>46132</v>
      </c>
      <c r="J3" s="23">
        <f t="shared" si="0"/>
        <v>46160</v>
      </c>
      <c r="K3" s="23">
        <f t="shared" si="0"/>
        <v>46188</v>
      </c>
      <c r="L3" s="23">
        <f t="shared" si="0"/>
        <v>46216</v>
      </c>
      <c r="M3" s="23">
        <f t="shared" si="0"/>
        <v>46244</v>
      </c>
      <c r="N3" s="23">
        <f t="shared" si="0"/>
        <v>46272</v>
      </c>
      <c r="O3" s="23">
        <f t="shared" si="0"/>
        <v>46300</v>
      </c>
      <c r="P3" s="23">
        <f t="shared" si="0"/>
        <v>46328</v>
      </c>
      <c r="Q3" s="23">
        <f t="shared" si="0"/>
        <v>46356</v>
      </c>
      <c r="R3" s="29"/>
      <c r="S3" s="29"/>
      <c r="T3" s="29"/>
    </row>
    <row r="4" spans="1:20" s="30" customFormat="1" x14ac:dyDescent="0.25">
      <c r="A4" s="29"/>
      <c r="B4" s="29"/>
      <c r="C4" s="29"/>
      <c r="D4" s="22" t="s">
        <v>11</v>
      </c>
      <c r="E4" s="23">
        <v>46047</v>
      </c>
      <c r="F4" s="23">
        <f>E4+28</f>
        <v>46075</v>
      </c>
      <c r="G4" s="23">
        <f t="shared" ref="G4:P4" si="1">F4+28</f>
        <v>46103</v>
      </c>
      <c r="H4" s="23">
        <f t="shared" si="1"/>
        <v>46131</v>
      </c>
      <c r="I4" s="23">
        <f t="shared" si="1"/>
        <v>46159</v>
      </c>
      <c r="J4" s="23">
        <f t="shared" si="1"/>
        <v>46187</v>
      </c>
      <c r="K4" s="23">
        <f t="shared" si="1"/>
        <v>46215</v>
      </c>
      <c r="L4" s="23">
        <f t="shared" si="1"/>
        <v>46243</v>
      </c>
      <c r="M4" s="23">
        <f t="shared" si="1"/>
        <v>46271</v>
      </c>
      <c r="N4" s="23">
        <f t="shared" si="1"/>
        <v>46299</v>
      </c>
      <c r="O4" s="23">
        <f t="shared" si="1"/>
        <v>46327</v>
      </c>
      <c r="P4" s="23">
        <f t="shared" si="1"/>
        <v>46355</v>
      </c>
      <c r="Q4" s="23">
        <v>46387</v>
      </c>
      <c r="R4" s="29"/>
      <c r="S4" s="29"/>
      <c r="T4" s="29"/>
    </row>
    <row r="5" spans="1:20" s="18" customFormat="1" ht="34.5" customHeight="1" x14ac:dyDescent="0.25">
      <c r="A5" s="24"/>
      <c r="B5" s="21"/>
      <c r="C5" s="24"/>
      <c r="D5" s="19"/>
      <c r="E5" s="27" t="str">
        <f>IF($B$9="Maand",TEXT(E1,"mm-jjjj"),TEXT(E3,"dd-mm-jjjj")&amp;" - "&amp;TEXT(E4,"dd-mm-jjjj"))</f>
        <v>01-2026</v>
      </c>
      <c r="F5" s="27" t="str">
        <f t="shared" ref="F5:P5" si="2">IF($B$9="Maand",TEXT(F1,"mm-jjjj"),TEXT(F3,"dd-mm-jjjj")&amp;" - "&amp;TEXT(F4,"dd-mm-jjjj"))</f>
        <v>02-2026</v>
      </c>
      <c r="G5" s="27" t="str">
        <f t="shared" si="2"/>
        <v>03-2026</v>
      </c>
      <c r="H5" s="27" t="str">
        <f t="shared" si="2"/>
        <v>04-2026</v>
      </c>
      <c r="I5" s="27" t="str">
        <f t="shared" si="2"/>
        <v>05-2026</v>
      </c>
      <c r="J5" s="27" t="str">
        <f t="shared" si="2"/>
        <v>06-2026</v>
      </c>
      <c r="K5" s="27" t="str">
        <f t="shared" si="2"/>
        <v>07-2026</v>
      </c>
      <c r="L5" s="27" t="str">
        <f t="shared" si="2"/>
        <v>08-2026</v>
      </c>
      <c r="M5" s="27" t="str">
        <f t="shared" si="2"/>
        <v>09-2026</v>
      </c>
      <c r="N5" s="27" t="str">
        <f t="shared" si="2"/>
        <v>10-2026</v>
      </c>
      <c r="O5" s="27" t="str">
        <f t="shared" si="2"/>
        <v>11-2026</v>
      </c>
      <c r="P5" s="27" t="str">
        <f t="shared" si="2"/>
        <v>12-2026</v>
      </c>
      <c r="Q5" s="27" t="str">
        <f>IF($B$9="Maand","",TEXT(Q3,"dd-mm-jjjj")&amp;" - "&amp;TEXT(Q4,"dd-mm-jjjj"))</f>
        <v/>
      </c>
      <c r="R5" s="24"/>
      <c r="S5" s="20" t="s">
        <v>4</v>
      </c>
      <c r="T5" s="24"/>
    </row>
    <row r="6" spans="1:20" x14ac:dyDescent="0.25">
      <c r="A6" s="25"/>
      <c r="B6" s="37" t="s">
        <v>6</v>
      </c>
      <c r="C6" s="25"/>
      <c r="D6" s="3" t="s">
        <v>26</v>
      </c>
      <c r="E6" s="35"/>
      <c r="F6" s="35"/>
      <c r="G6" s="35"/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25"/>
      <c r="S6" s="8">
        <f>IF((_xlfn.DAYS(B20,B18)/_xlfn.DAYS(DATE(YEAR(B20),12,31),DATE(YEAR(B18),1,1)))&lt;1,(SUM(E8:Q8)-SUM(E9:Q9)-SUM(E12:Q12))/(_xlfn.DAYS(B20,B18)/_xlfn.DAYS(DATE(YEAR(B20),12,31),DATE(YEAR(B18),1,1)))+SUM(E12:Q12),(SUM(E8:Q8)-SUM(E9:Q9))/(_xlfn.DAYS(B20,B18)/(_xlfn.DAYS(DATE(YEAR(B20),12,31),DATE(YEAR(B18),1,1)))))</f>
        <v>0</v>
      </c>
      <c r="T6" s="25"/>
    </row>
    <row r="7" spans="1:20" x14ac:dyDescent="0.25">
      <c r="A7" s="25"/>
      <c r="B7" s="37" t="s">
        <v>33</v>
      </c>
      <c r="C7" s="25"/>
      <c r="D7" s="3" t="s">
        <v>27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25"/>
      <c r="S7" s="8"/>
      <c r="T7" s="25"/>
    </row>
    <row r="8" spans="1:20" x14ac:dyDescent="0.25">
      <c r="A8" s="25"/>
      <c r="B8" s="37" t="s">
        <v>31</v>
      </c>
      <c r="C8" s="25"/>
      <c r="D8" s="3" t="s">
        <v>25</v>
      </c>
      <c r="E8" s="7">
        <f t="shared" ref="E8:Q8" si="3">E6+E7+E12+E9</f>
        <v>0</v>
      </c>
      <c r="F8" s="7">
        <f t="shared" si="3"/>
        <v>0</v>
      </c>
      <c r="G8" s="7">
        <f t="shared" si="3"/>
        <v>0</v>
      </c>
      <c r="H8" s="7">
        <f>H6+H7+H12+H9</f>
        <v>0</v>
      </c>
      <c r="I8" s="7">
        <f t="shared" si="3"/>
        <v>0</v>
      </c>
      <c r="J8" s="7">
        <f t="shared" si="3"/>
        <v>0</v>
      </c>
      <c r="K8" s="7">
        <f t="shared" si="3"/>
        <v>0</v>
      </c>
      <c r="L8" s="7">
        <f t="shared" si="3"/>
        <v>0</v>
      </c>
      <c r="M8" s="7">
        <f t="shared" si="3"/>
        <v>0</v>
      </c>
      <c r="N8" s="7">
        <f t="shared" si="3"/>
        <v>0</v>
      </c>
      <c r="O8" s="7">
        <f t="shared" si="3"/>
        <v>0</v>
      </c>
      <c r="P8" s="7">
        <f t="shared" si="3"/>
        <v>0</v>
      </c>
      <c r="Q8" s="7">
        <f t="shared" si="3"/>
        <v>0</v>
      </c>
      <c r="R8" s="25"/>
      <c r="S8" s="2"/>
      <c r="T8" s="25"/>
    </row>
    <row r="9" spans="1:20" x14ac:dyDescent="0.25">
      <c r="A9" s="25"/>
      <c r="B9" s="37" t="s">
        <v>7</v>
      </c>
      <c r="C9" s="25"/>
      <c r="D9" s="3" t="s">
        <v>28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25"/>
      <c r="S9" s="17" t="s">
        <v>14</v>
      </c>
      <c r="T9" s="25"/>
    </row>
    <row r="10" spans="1:20" x14ac:dyDescent="0.25">
      <c r="A10" s="25"/>
      <c r="B10" s="15"/>
      <c r="C10" s="25"/>
      <c r="D10" s="3" t="s">
        <v>29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25"/>
      <c r="S10" s="17"/>
      <c r="T10" s="25"/>
    </row>
    <row r="11" spans="1:20" x14ac:dyDescent="0.25">
      <c r="A11" s="25"/>
      <c r="B11" s="14" t="s">
        <v>20</v>
      </c>
      <c r="C11" s="25"/>
      <c r="D11" s="3" t="s">
        <v>30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25"/>
      <c r="S11" s="8">
        <f>SUM(E21:Q21)</f>
        <v>0</v>
      </c>
      <c r="T11" s="25"/>
    </row>
    <row r="12" spans="1:20" x14ac:dyDescent="0.25">
      <c r="A12" s="25"/>
      <c r="B12" s="28">
        <v>79409</v>
      </c>
      <c r="C12" s="25"/>
      <c r="D12" s="3" t="s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25"/>
      <c r="S12" s="17" t="s">
        <v>5</v>
      </c>
      <c r="T12" s="25"/>
    </row>
    <row r="13" spans="1:20" x14ac:dyDescent="0.25">
      <c r="A13" s="25"/>
      <c r="B13" s="14" t="s">
        <v>18</v>
      </c>
      <c r="C13" s="25"/>
      <c r="D13" s="3" t="s">
        <v>24</v>
      </c>
      <c r="E13" s="7">
        <f>ROUND(IF($B$7="Opbouw vakantiegeld",0.08*(E8-E9-E14-E16), 0),2)</f>
        <v>0</v>
      </c>
      <c r="F13" s="7">
        <f t="shared" ref="F13:Q13" si="4">ROUND(IF($B$7="Opbouw vakantiegeld",0.08*(F8-F9-F10-F11-F14-F16), 0),2)</f>
        <v>0</v>
      </c>
      <c r="G13" s="7">
        <f t="shared" si="4"/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7">
        <f t="shared" si="4"/>
        <v>0</v>
      </c>
      <c r="L13" s="7">
        <f t="shared" si="4"/>
        <v>0</v>
      </c>
      <c r="M13" s="7">
        <f t="shared" si="4"/>
        <v>0</v>
      </c>
      <c r="N13" s="7">
        <f t="shared" si="4"/>
        <v>0</v>
      </c>
      <c r="O13" s="7">
        <f t="shared" si="4"/>
        <v>0</v>
      </c>
      <c r="P13" s="7">
        <f t="shared" si="4"/>
        <v>0</v>
      </c>
      <c r="Q13" s="7">
        <f t="shared" si="4"/>
        <v>0</v>
      </c>
      <c r="R13" s="25"/>
      <c r="S13" s="8">
        <f>B14*S6</f>
        <v>0</v>
      </c>
      <c r="T13" s="25"/>
    </row>
    <row r="14" spans="1:20" x14ac:dyDescent="0.25">
      <c r="A14" s="25"/>
      <c r="B14" s="31">
        <v>5.2100000000000002E-3</v>
      </c>
      <c r="C14" s="25"/>
      <c r="D14" s="3" t="s">
        <v>23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25"/>
      <c r="S14" s="17" t="s">
        <v>16</v>
      </c>
      <c r="T14" s="25"/>
    </row>
    <row r="15" spans="1:20" x14ac:dyDescent="0.25">
      <c r="A15" s="25"/>
      <c r="B15" s="14" t="s">
        <v>19</v>
      </c>
      <c r="C15" s="25"/>
      <c r="D15" s="3" t="s">
        <v>21</v>
      </c>
      <c r="E15" s="7">
        <f>ROUND(IF($B$8="Opbouw 13e maand",0.083333*(E8-E14-E16),0),2)</f>
        <v>0</v>
      </c>
      <c r="F15" s="7">
        <f t="shared" ref="F15:Q15" si="5">ROUND(IF($B$8="Opbouw 13e maand",0.083333*(F8-F14-F16),0),2)</f>
        <v>0</v>
      </c>
      <c r="G15" s="7">
        <f t="shared" si="5"/>
        <v>0</v>
      </c>
      <c r="H15" s="7">
        <f t="shared" si="5"/>
        <v>0</v>
      </c>
      <c r="I15" s="7">
        <f t="shared" si="5"/>
        <v>0</v>
      </c>
      <c r="J15" s="7">
        <f t="shared" si="5"/>
        <v>0</v>
      </c>
      <c r="K15" s="7">
        <f t="shared" si="5"/>
        <v>0</v>
      </c>
      <c r="L15" s="7">
        <f t="shared" si="5"/>
        <v>0</v>
      </c>
      <c r="M15" s="7">
        <f t="shared" si="5"/>
        <v>0</v>
      </c>
      <c r="N15" s="7">
        <f t="shared" si="5"/>
        <v>0</v>
      </c>
      <c r="O15" s="7">
        <f t="shared" si="5"/>
        <v>0</v>
      </c>
      <c r="P15" s="7">
        <f t="shared" si="5"/>
        <v>0</v>
      </c>
      <c r="Q15" s="7">
        <f t="shared" si="5"/>
        <v>0</v>
      </c>
      <c r="R15" s="25"/>
      <c r="S15" s="8">
        <f>S11-S13</f>
        <v>0</v>
      </c>
      <c r="T15" s="25"/>
    </row>
    <row r="16" spans="1:20" x14ac:dyDescent="0.25">
      <c r="A16" s="25"/>
      <c r="B16" s="32">
        <v>3.0799999999999998E-3</v>
      </c>
      <c r="C16" s="25"/>
      <c r="D16" s="3" t="s">
        <v>22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25"/>
      <c r="S16" s="2"/>
      <c r="T16" s="25"/>
    </row>
    <row r="17" spans="1:20" x14ac:dyDescent="0.25">
      <c r="A17" s="25"/>
      <c r="B17" s="14" t="s">
        <v>12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5"/>
      <c r="S17" s="17" t="s">
        <v>15</v>
      </c>
      <c r="T17" s="25"/>
    </row>
    <row r="18" spans="1:20" x14ac:dyDescent="0.25">
      <c r="A18" s="25"/>
      <c r="B18" s="16">
        <v>46023</v>
      </c>
      <c r="C18" s="25"/>
      <c r="D18" s="4" t="s">
        <v>8</v>
      </c>
      <c r="E18" s="36">
        <f>IF($B$9="Maand",12,13.05)*IF($B$7="Opbouw vakantiegeld",1.08,1)+IF($B$8="Opbouw 13e maand",1,0)</f>
        <v>12</v>
      </c>
      <c r="F18" s="36">
        <f t="shared" ref="F18:Q18" si="6">IF($B$9="Maand",12,13.05)*IF($B$7="Opbouw vakantiegeld",1.08,1)+IF($B$8="Opbouw 13e maand",1,0)</f>
        <v>12</v>
      </c>
      <c r="G18" s="36">
        <f t="shared" si="6"/>
        <v>12</v>
      </c>
      <c r="H18" s="36">
        <f t="shared" si="6"/>
        <v>12</v>
      </c>
      <c r="I18" s="36">
        <f t="shared" si="6"/>
        <v>12</v>
      </c>
      <c r="J18" s="36">
        <f t="shared" si="6"/>
        <v>12</v>
      </c>
      <c r="K18" s="36">
        <f t="shared" si="6"/>
        <v>12</v>
      </c>
      <c r="L18" s="36">
        <f t="shared" si="6"/>
        <v>12</v>
      </c>
      <c r="M18" s="36">
        <f t="shared" si="6"/>
        <v>12</v>
      </c>
      <c r="N18" s="36">
        <f t="shared" si="6"/>
        <v>12</v>
      </c>
      <c r="O18" s="36">
        <f t="shared" si="6"/>
        <v>12</v>
      </c>
      <c r="P18" s="36">
        <f t="shared" si="6"/>
        <v>12</v>
      </c>
      <c r="Q18" s="36">
        <f t="shared" si="6"/>
        <v>12</v>
      </c>
      <c r="R18" s="25"/>
      <c r="S18" s="8">
        <f>SUM(E22:Q22)</f>
        <v>0</v>
      </c>
      <c r="T18" s="25"/>
    </row>
    <row r="19" spans="1:20" x14ac:dyDescent="0.25">
      <c r="A19" s="25"/>
      <c r="B19" s="14" t="s">
        <v>13</v>
      </c>
      <c r="C19" s="25"/>
      <c r="D19" s="4" t="s">
        <v>10</v>
      </c>
      <c r="E19" s="10">
        <f>IF($B$9="Maand",MAX(DAYS360(MAX(E1,$B$18),E2+1),0),MAX(DAYS360(MAX(E3,$B$18),E4+1),0))</f>
        <v>30</v>
      </c>
      <c r="F19" s="10">
        <f t="shared" ref="F19:Q19" si="7">IF($B$9="Maand",MAX(DAYS360(MAX(F1,$B$18),F2+1),0),MAX(DAYS360(MAX(F3,$B$18),F4+1),0))</f>
        <v>30</v>
      </c>
      <c r="G19" s="10">
        <f t="shared" si="7"/>
        <v>30</v>
      </c>
      <c r="H19" s="10">
        <f t="shared" si="7"/>
        <v>30</v>
      </c>
      <c r="I19" s="10">
        <f t="shared" si="7"/>
        <v>30</v>
      </c>
      <c r="J19" s="10">
        <f t="shared" si="7"/>
        <v>30</v>
      </c>
      <c r="K19" s="10">
        <f t="shared" si="7"/>
        <v>30</v>
      </c>
      <c r="L19" s="10">
        <f t="shared" si="7"/>
        <v>30</v>
      </c>
      <c r="M19" s="10">
        <f t="shared" si="7"/>
        <v>30</v>
      </c>
      <c r="N19" s="10">
        <f t="shared" si="7"/>
        <v>30</v>
      </c>
      <c r="O19" s="10">
        <f t="shared" si="7"/>
        <v>30</v>
      </c>
      <c r="P19" s="10">
        <f t="shared" si="7"/>
        <v>30</v>
      </c>
      <c r="Q19" s="10">
        <f t="shared" si="7"/>
        <v>0</v>
      </c>
      <c r="R19" s="25"/>
      <c r="S19" s="17" t="s">
        <v>17</v>
      </c>
      <c r="T19" s="25"/>
    </row>
    <row r="20" spans="1:20" x14ac:dyDescent="0.25">
      <c r="A20" s="25"/>
      <c r="B20" s="16">
        <v>46387</v>
      </c>
      <c r="C20" s="25"/>
      <c r="D20" s="4" t="s">
        <v>1</v>
      </c>
      <c r="E20" s="11">
        <f>IF($B$6="Contractant",(E6*E18)+E11+E10,(E7*E18)+E11)</f>
        <v>0</v>
      </c>
      <c r="F20" s="11">
        <f t="shared" ref="F20:Q20" si="8">IF($B$6="Contractant",(F6*F18)+F11+F10,(F7*F18)+F11)</f>
        <v>0</v>
      </c>
      <c r="G20" s="11">
        <f t="shared" si="8"/>
        <v>0</v>
      </c>
      <c r="H20" s="11">
        <f t="shared" si="8"/>
        <v>0</v>
      </c>
      <c r="I20" s="11">
        <f t="shared" si="8"/>
        <v>0</v>
      </c>
      <c r="J20" s="11">
        <f t="shared" si="8"/>
        <v>0</v>
      </c>
      <c r="K20" s="11">
        <f t="shared" si="8"/>
        <v>0</v>
      </c>
      <c r="L20" s="11">
        <f t="shared" si="8"/>
        <v>0</v>
      </c>
      <c r="M20" s="11">
        <f t="shared" si="8"/>
        <v>0</v>
      </c>
      <c r="N20" s="11">
        <f t="shared" si="8"/>
        <v>0</v>
      </c>
      <c r="O20" s="11">
        <f t="shared" si="8"/>
        <v>0</v>
      </c>
      <c r="P20" s="11">
        <f t="shared" si="8"/>
        <v>0</v>
      </c>
      <c r="Q20" s="11">
        <f t="shared" si="8"/>
        <v>0</v>
      </c>
      <c r="R20" s="25"/>
      <c r="S20" s="9">
        <f>B16*(MAX(S6,66956)-66956)</f>
        <v>0</v>
      </c>
      <c r="T20" s="25"/>
    </row>
    <row r="21" spans="1:20" x14ac:dyDescent="0.25">
      <c r="A21" s="25"/>
      <c r="B21" s="13"/>
      <c r="C21" s="25"/>
      <c r="D21" s="4" t="s">
        <v>2</v>
      </c>
      <c r="E21" s="11">
        <f>((E20*$B$14)/360)*E19</f>
        <v>0</v>
      </c>
      <c r="F21" s="11">
        <f t="shared" ref="F21:Q21" si="9">((F20*$B$14)/360)*F19</f>
        <v>0</v>
      </c>
      <c r="G21" s="11">
        <f t="shared" si="9"/>
        <v>0</v>
      </c>
      <c r="H21" s="11">
        <f t="shared" si="9"/>
        <v>0</v>
      </c>
      <c r="I21" s="11">
        <f t="shared" si="9"/>
        <v>0</v>
      </c>
      <c r="J21" s="11">
        <f t="shared" si="9"/>
        <v>0</v>
      </c>
      <c r="K21" s="11">
        <f t="shared" si="9"/>
        <v>0</v>
      </c>
      <c r="L21" s="11">
        <f t="shared" si="9"/>
        <v>0</v>
      </c>
      <c r="M21" s="11">
        <f t="shared" si="9"/>
        <v>0</v>
      </c>
      <c r="N21" s="11">
        <f t="shared" si="9"/>
        <v>0</v>
      </c>
      <c r="O21" s="11">
        <f t="shared" si="9"/>
        <v>0</v>
      </c>
      <c r="P21" s="11">
        <f t="shared" si="9"/>
        <v>0</v>
      </c>
      <c r="Q21" s="11">
        <f t="shared" si="9"/>
        <v>0</v>
      </c>
      <c r="R21" s="25"/>
      <c r="S21" s="17" t="s">
        <v>16</v>
      </c>
      <c r="T21" s="25"/>
    </row>
    <row r="22" spans="1:20" x14ac:dyDescent="0.25">
      <c r="A22" s="25"/>
      <c r="B22" s="12"/>
      <c r="C22" s="25"/>
      <c r="D22" s="4" t="s">
        <v>3</v>
      </c>
      <c r="E22" s="11">
        <f>((MAX(E20,$B$12)-$B$12)*$B$16)/360*E19</f>
        <v>0</v>
      </c>
      <c r="F22" s="11">
        <f t="shared" ref="F22:Q22" si="10">((MAX(F20,$B$12)-$B$12)*$B$16)/360*F19</f>
        <v>0</v>
      </c>
      <c r="G22" s="11">
        <f t="shared" si="10"/>
        <v>0</v>
      </c>
      <c r="H22" s="11">
        <f t="shared" si="10"/>
        <v>0</v>
      </c>
      <c r="I22" s="11">
        <f t="shared" si="10"/>
        <v>0</v>
      </c>
      <c r="J22" s="11">
        <f t="shared" si="10"/>
        <v>0</v>
      </c>
      <c r="K22" s="11">
        <f t="shared" si="10"/>
        <v>0</v>
      </c>
      <c r="L22" s="11">
        <f t="shared" si="10"/>
        <v>0</v>
      </c>
      <c r="M22" s="11">
        <f t="shared" si="10"/>
        <v>0</v>
      </c>
      <c r="N22" s="11">
        <f t="shared" si="10"/>
        <v>0</v>
      </c>
      <c r="O22" s="11">
        <f t="shared" si="10"/>
        <v>0</v>
      </c>
      <c r="P22" s="11">
        <f t="shared" si="10"/>
        <v>0</v>
      </c>
      <c r="Q22" s="11">
        <f t="shared" si="10"/>
        <v>0</v>
      </c>
      <c r="R22" s="25"/>
      <c r="S22" s="8">
        <f>S18-S20</f>
        <v>0</v>
      </c>
      <c r="T22" s="25"/>
    </row>
    <row r="23" spans="1:20" s="25" customFormat="1" x14ac:dyDescent="0.25"/>
    <row r="24" spans="1:20" x14ac:dyDescent="0.25">
      <c r="F24" s="6"/>
    </row>
    <row r="25" spans="1:20" x14ac:dyDescent="0.25">
      <c r="F25" s="6"/>
    </row>
    <row r="26" spans="1:20" x14ac:dyDescent="0.25">
      <c r="F26" s="6"/>
    </row>
    <row r="27" spans="1:20" x14ac:dyDescent="0.25">
      <c r="F27" s="6"/>
    </row>
    <row r="28" spans="1:20" x14ac:dyDescent="0.25">
      <c r="D28" s="5"/>
    </row>
    <row r="29" spans="1:20" x14ac:dyDescent="0.25">
      <c r="D29" s="1"/>
    </row>
  </sheetData>
  <dataValidations count="4">
    <dataValidation type="list" allowBlank="1" showInputMessage="1" showErrorMessage="1" sqref="B9:B10" xr:uid="{4CE5FB63-889D-4C4F-8DF1-EAC9EB06BF79}">
      <formula1>"Maand,4 weken"</formula1>
    </dataValidation>
    <dataValidation type="list" allowBlank="1" showInputMessage="1" showErrorMessage="1" sqref="B8" xr:uid="{3144CCC9-4F09-41BD-9259-49A03D6F23A4}">
      <formula1>"Opbouw 13e maand, Geen 13e maand"</formula1>
    </dataValidation>
    <dataValidation type="list" allowBlank="1" showInputMessage="1" showErrorMessage="1" sqref="B7" xr:uid="{A1854BBC-604E-478D-AB31-C35C9147AC74}">
      <formula1>"Opbouw vakantiegeld,Geen vakantiegeld,Betaling vakantiegeld maandelijks"</formula1>
    </dataValidation>
    <dataValidation type="list" allowBlank="1" showInputMessage="1" showErrorMessage="1" sqref="B6" xr:uid="{C69CF020-BE10-4753-8B79-1B413496C788}">
      <formula1>"Oproepkracht,Contractant"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3669-2954-B24F-BEC3-90E9A27CDA83}">
  <dimension ref="A1:T29"/>
  <sheetViews>
    <sheetView zoomScale="90" zoomScaleNormal="90" workbookViewId="0"/>
  </sheetViews>
  <sheetFormatPr defaultColWidth="11" defaultRowHeight="15.75" x14ac:dyDescent="0.25"/>
  <cols>
    <col min="1" max="1" width="2.625" customWidth="1"/>
    <col min="2" max="2" width="20" bestFit="1" customWidth="1"/>
    <col min="3" max="3" width="2.625" customWidth="1"/>
    <col min="4" max="4" width="41.5" bestFit="1" customWidth="1"/>
    <col min="5" max="17" width="12.125" bestFit="1" customWidth="1"/>
    <col min="18" max="18" width="2.625" customWidth="1"/>
    <col min="19" max="19" width="19.875" bestFit="1" customWidth="1"/>
    <col min="20" max="20" width="2.625" customWidth="1"/>
  </cols>
  <sheetData>
    <row r="1" spans="1:20" s="30" customFormat="1" x14ac:dyDescent="0.25">
      <c r="A1" s="29"/>
      <c r="B1" s="29"/>
      <c r="C1" s="29"/>
      <c r="D1" s="33" t="s">
        <v>9</v>
      </c>
      <c r="E1" s="34">
        <v>45658</v>
      </c>
      <c r="F1" s="34">
        <v>45689</v>
      </c>
      <c r="G1" s="34">
        <v>45717</v>
      </c>
      <c r="H1" s="34">
        <v>45748</v>
      </c>
      <c r="I1" s="34">
        <v>45778</v>
      </c>
      <c r="J1" s="34">
        <v>45809</v>
      </c>
      <c r="K1" s="34">
        <v>45839</v>
      </c>
      <c r="L1" s="34">
        <v>45870</v>
      </c>
      <c r="M1" s="34">
        <v>45901</v>
      </c>
      <c r="N1" s="34">
        <v>45931</v>
      </c>
      <c r="O1" s="34">
        <v>45962</v>
      </c>
      <c r="P1" s="34">
        <v>45992</v>
      </c>
      <c r="Q1" s="34"/>
      <c r="R1" s="29"/>
      <c r="S1" s="29"/>
      <c r="T1" s="29"/>
    </row>
    <row r="2" spans="1:20" s="30" customFormat="1" x14ac:dyDescent="0.25">
      <c r="A2" s="29"/>
      <c r="B2" s="29"/>
      <c r="C2" s="29"/>
      <c r="D2" s="33" t="s">
        <v>9</v>
      </c>
      <c r="E2" s="34">
        <v>45688</v>
      </c>
      <c r="F2" s="34">
        <v>45716</v>
      </c>
      <c r="G2" s="34">
        <v>45747</v>
      </c>
      <c r="H2" s="34">
        <v>45777</v>
      </c>
      <c r="I2" s="34">
        <v>45808</v>
      </c>
      <c r="J2" s="34">
        <v>45838</v>
      </c>
      <c r="K2" s="34">
        <v>45869</v>
      </c>
      <c r="L2" s="34">
        <v>45900</v>
      </c>
      <c r="M2" s="34">
        <v>45930</v>
      </c>
      <c r="N2" s="34">
        <v>45961</v>
      </c>
      <c r="O2" s="34">
        <v>45991</v>
      </c>
      <c r="P2" s="34">
        <v>46022</v>
      </c>
      <c r="Q2" s="34"/>
      <c r="R2" s="29"/>
      <c r="S2" s="29"/>
      <c r="T2" s="29"/>
    </row>
    <row r="3" spans="1:20" s="30" customFormat="1" x14ac:dyDescent="0.25">
      <c r="A3" s="29"/>
      <c r="B3" s="29"/>
      <c r="C3" s="29"/>
      <c r="D3" s="33" t="s">
        <v>6</v>
      </c>
      <c r="E3" s="34">
        <v>45658</v>
      </c>
      <c r="F3" s="34">
        <f>E4+1</f>
        <v>45684</v>
      </c>
      <c r="G3" s="34">
        <f t="shared" ref="G3:Q3" si="0">F4+1</f>
        <v>45712</v>
      </c>
      <c r="H3" s="34">
        <f t="shared" si="0"/>
        <v>45740</v>
      </c>
      <c r="I3" s="34">
        <f t="shared" si="0"/>
        <v>45768</v>
      </c>
      <c r="J3" s="34">
        <f t="shared" si="0"/>
        <v>45796</v>
      </c>
      <c r="K3" s="34">
        <f t="shared" si="0"/>
        <v>45824</v>
      </c>
      <c r="L3" s="34">
        <f t="shared" si="0"/>
        <v>45852</v>
      </c>
      <c r="M3" s="34">
        <f t="shared" si="0"/>
        <v>45880</v>
      </c>
      <c r="N3" s="34">
        <f t="shared" si="0"/>
        <v>45908</v>
      </c>
      <c r="O3" s="34">
        <f t="shared" si="0"/>
        <v>45936</v>
      </c>
      <c r="P3" s="34">
        <f t="shared" si="0"/>
        <v>45964</v>
      </c>
      <c r="Q3" s="34">
        <f t="shared" si="0"/>
        <v>45992</v>
      </c>
      <c r="R3" s="29"/>
      <c r="S3" s="29"/>
      <c r="T3" s="29"/>
    </row>
    <row r="4" spans="1:20" s="30" customFormat="1" x14ac:dyDescent="0.25">
      <c r="A4" s="29"/>
      <c r="B4" s="29"/>
      <c r="C4" s="29"/>
      <c r="D4" s="33" t="s">
        <v>11</v>
      </c>
      <c r="E4" s="34">
        <v>45683</v>
      </c>
      <c r="F4" s="34">
        <f>E4+28</f>
        <v>45711</v>
      </c>
      <c r="G4" s="34">
        <f t="shared" ref="G4:P4" si="1">F4+28</f>
        <v>45739</v>
      </c>
      <c r="H4" s="34">
        <f t="shared" si="1"/>
        <v>45767</v>
      </c>
      <c r="I4" s="34">
        <f t="shared" si="1"/>
        <v>45795</v>
      </c>
      <c r="J4" s="34">
        <f t="shared" si="1"/>
        <v>45823</v>
      </c>
      <c r="K4" s="34">
        <f t="shared" si="1"/>
        <v>45851</v>
      </c>
      <c r="L4" s="34">
        <f t="shared" si="1"/>
        <v>45879</v>
      </c>
      <c r="M4" s="34">
        <f t="shared" si="1"/>
        <v>45907</v>
      </c>
      <c r="N4" s="34">
        <f t="shared" si="1"/>
        <v>45935</v>
      </c>
      <c r="O4" s="34">
        <f t="shared" si="1"/>
        <v>45963</v>
      </c>
      <c r="P4" s="34">
        <f t="shared" si="1"/>
        <v>45991</v>
      </c>
      <c r="Q4" s="34">
        <v>46022</v>
      </c>
      <c r="R4" s="29"/>
      <c r="S4" s="29"/>
      <c r="T4" s="29"/>
    </row>
    <row r="5" spans="1:20" s="18" customFormat="1" ht="34.5" customHeight="1" x14ac:dyDescent="0.25">
      <c r="A5" s="24"/>
      <c r="B5" s="21"/>
      <c r="C5" s="24"/>
      <c r="D5" s="19"/>
      <c r="E5" s="27" t="str">
        <f>IF($B$9="Maand","Januari", "01-01-2025 - 28-01-2025")</f>
        <v>Januari</v>
      </c>
      <c r="F5" s="27" t="str">
        <f>IF($B$9="Maand","Februari", "30-01-2025 - 26-02-2025")</f>
        <v>Februari</v>
      </c>
      <c r="G5" s="27" t="str">
        <f>IF($B$9="Maand","Maart", "27-02-2025 - 26-03-2025")</f>
        <v>Maart</v>
      </c>
      <c r="H5" s="27" t="str">
        <f>IF($B$9="Maand","April", "27-03-2025 - 23-04-2025")</f>
        <v>April</v>
      </c>
      <c r="I5" s="27" t="str">
        <f>IF($B$9="Maand","Mei", "24-04-2025 - 21-05-2025")</f>
        <v>Mei</v>
      </c>
      <c r="J5" s="27" t="str">
        <f>IF($B$9="Maand","Juni", "22-05-2025 - 18-06-2025")</f>
        <v>Juni</v>
      </c>
      <c r="K5" s="27" t="str">
        <f>IF($B$9="Maand","Juli", "19-06-2025 - 16-07-2025")</f>
        <v>Juli</v>
      </c>
      <c r="L5" s="27" t="str">
        <f>IF($B$9="Maand","Augustus", "17-07-2025 - 13-08-2025")</f>
        <v>Augustus</v>
      </c>
      <c r="M5" s="27" t="str">
        <f>IF($B$9="Maand","September", "14-08-2025 - 10-09-2025")</f>
        <v>September</v>
      </c>
      <c r="N5" s="27" t="str">
        <f>IF($B$9="Maand","Oktober", "11-09-2025 - 08-10-2025")</f>
        <v>Oktober</v>
      </c>
      <c r="O5" s="27" t="str">
        <f>IF($B$9="Maand","November", "09-10-2025 - 05-11-2025")</f>
        <v>November</v>
      </c>
      <c r="P5" s="27" t="str">
        <f>IF($B$9="Maand","December", "06-11-2025 - 03-12-2025")</f>
        <v>December</v>
      </c>
      <c r="Q5" s="27" t="str">
        <f>IF($B$9="Maand","", "04-12-2025 - 31-12-2025")</f>
        <v/>
      </c>
      <c r="R5" s="24"/>
      <c r="S5" s="20" t="s">
        <v>4</v>
      </c>
      <c r="T5" s="24"/>
    </row>
    <row r="6" spans="1:20" x14ac:dyDescent="0.25">
      <c r="A6" s="25"/>
      <c r="B6" s="15" t="s">
        <v>9</v>
      </c>
      <c r="C6" s="25"/>
      <c r="D6" s="3" t="s">
        <v>26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25"/>
      <c r="S6" s="8">
        <f>IF((_xlfn.DAYS(B20,B18)/_xlfn.DAYS(DATE(YEAR(B20),12,31),DATE(YEAR(B18),1,1)))&lt;1,(SUM(E8:Q8)-SUM(E9:Q9)-SUM(E12:Q12))/(_xlfn.DAYS(B20,B18)/_xlfn.DAYS(DATE(YEAR(B20),12,31),DATE(YEAR(B18),1,1)))+SUM(E12:Q12),(SUM(E8:Q8)-SUM(E9:Q9))/(_xlfn.DAYS(B20,B18)/(_xlfn.DAYS(DATE(YEAR(B20),12,31),DATE(YEAR(B18),1,1)))))</f>
        <v>0</v>
      </c>
      <c r="T6" s="25"/>
    </row>
    <row r="7" spans="1:20" x14ac:dyDescent="0.25">
      <c r="A7" s="25"/>
      <c r="B7" s="15" t="s">
        <v>32</v>
      </c>
      <c r="C7" s="25"/>
      <c r="D7" s="3" t="s">
        <v>27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25"/>
      <c r="S7" s="8"/>
      <c r="T7" s="25"/>
    </row>
    <row r="8" spans="1:20" x14ac:dyDescent="0.25">
      <c r="A8" s="25"/>
      <c r="B8" s="15" t="s">
        <v>31</v>
      </c>
      <c r="C8" s="25"/>
      <c r="D8" s="3" t="s">
        <v>25</v>
      </c>
      <c r="E8" s="7">
        <f t="shared" ref="E8:Q8" si="2">E6+E7+E12+E9</f>
        <v>0</v>
      </c>
      <c r="F8" s="7">
        <f t="shared" si="2"/>
        <v>0</v>
      </c>
      <c r="G8" s="7">
        <f t="shared" si="2"/>
        <v>0</v>
      </c>
      <c r="H8" s="7">
        <f>H6+H7+H12+H9</f>
        <v>0</v>
      </c>
      <c r="I8" s="7">
        <f t="shared" si="2"/>
        <v>0</v>
      </c>
      <c r="J8" s="7">
        <f t="shared" si="2"/>
        <v>0</v>
      </c>
      <c r="K8" s="7">
        <f t="shared" si="2"/>
        <v>0</v>
      </c>
      <c r="L8" s="7">
        <f t="shared" si="2"/>
        <v>0</v>
      </c>
      <c r="M8" s="7">
        <f t="shared" si="2"/>
        <v>0</v>
      </c>
      <c r="N8" s="7">
        <f t="shared" si="2"/>
        <v>0</v>
      </c>
      <c r="O8" s="7">
        <f t="shared" si="2"/>
        <v>0</v>
      </c>
      <c r="P8" s="7">
        <f t="shared" si="2"/>
        <v>0</v>
      </c>
      <c r="Q8" s="7">
        <f t="shared" si="2"/>
        <v>0</v>
      </c>
      <c r="R8" s="25"/>
      <c r="S8" s="2"/>
      <c r="T8" s="25"/>
    </row>
    <row r="9" spans="1:20" x14ac:dyDescent="0.25">
      <c r="A9" s="25"/>
      <c r="B9" s="15" t="s">
        <v>7</v>
      </c>
      <c r="C9" s="25"/>
      <c r="D9" s="3" t="s">
        <v>28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25"/>
      <c r="S9" s="17" t="s">
        <v>14</v>
      </c>
      <c r="T9" s="25"/>
    </row>
    <row r="10" spans="1:20" x14ac:dyDescent="0.25">
      <c r="A10" s="25"/>
      <c r="B10" s="15"/>
      <c r="C10" s="25"/>
      <c r="D10" s="3" t="s">
        <v>29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25"/>
      <c r="S10" s="17"/>
      <c r="T10" s="25"/>
    </row>
    <row r="11" spans="1:20" x14ac:dyDescent="0.25">
      <c r="A11" s="25"/>
      <c r="B11" s="14" t="s">
        <v>20</v>
      </c>
      <c r="C11" s="25"/>
      <c r="D11" s="3" t="s">
        <v>30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25"/>
      <c r="S11" s="8">
        <f>SUM(E21:Q21)</f>
        <v>0</v>
      </c>
      <c r="T11" s="25"/>
    </row>
    <row r="12" spans="1:20" x14ac:dyDescent="0.25">
      <c r="A12" s="25"/>
      <c r="B12" s="28">
        <v>75864</v>
      </c>
      <c r="C12" s="25"/>
      <c r="D12" s="3" t="s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25"/>
      <c r="S12" s="17" t="s">
        <v>5</v>
      </c>
      <c r="T12" s="25"/>
    </row>
    <row r="13" spans="1:20" x14ac:dyDescent="0.25">
      <c r="A13" s="25"/>
      <c r="B13" s="14" t="s">
        <v>18</v>
      </c>
      <c r="C13" s="25"/>
      <c r="D13" s="3" t="s">
        <v>24</v>
      </c>
      <c r="E13" s="7">
        <f>ROUND(IF($B$7="Opbouw vakantiegeld",0.08*(E8-E9-E14-E16), 0),2)</f>
        <v>0</v>
      </c>
      <c r="F13" s="7">
        <f t="shared" ref="F13:Q13" si="3">ROUND(IF($B$7="Opbouw vakantiegeld",0.08*(F8-F9-F10-F11-F14-F16), 0),2)</f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0</v>
      </c>
      <c r="P13" s="7">
        <f t="shared" si="3"/>
        <v>0</v>
      </c>
      <c r="Q13" s="7">
        <f t="shared" si="3"/>
        <v>0</v>
      </c>
      <c r="R13" s="25"/>
      <c r="S13" s="8">
        <f>B14*S6</f>
        <v>0</v>
      </c>
      <c r="T13" s="25"/>
    </row>
    <row r="14" spans="1:20" x14ac:dyDescent="0.25">
      <c r="A14" s="25"/>
      <c r="B14" s="31">
        <v>5.2100000000000002E-3</v>
      </c>
      <c r="C14" s="25"/>
      <c r="D14" s="3" t="s">
        <v>23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25"/>
      <c r="S14" s="17" t="s">
        <v>16</v>
      </c>
      <c r="T14" s="25"/>
    </row>
    <row r="15" spans="1:20" x14ac:dyDescent="0.25">
      <c r="A15" s="25"/>
      <c r="B15" s="14" t="s">
        <v>19</v>
      </c>
      <c r="C15" s="25"/>
      <c r="D15" s="3" t="s">
        <v>21</v>
      </c>
      <c r="E15" s="7">
        <f>ROUND(IF($B$8="Opbouw 13e maand",0.083333*(E8-E14-E16),0),2)</f>
        <v>0</v>
      </c>
      <c r="F15" s="7">
        <f t="shared" ref="F15:Q15" si="4">ROUND(IF($B$8="Opbouw 13e maand",0.083333*(F8-F14-F16),0),2)</f>
        <v>0</v>
      </c>
      <c r="G15" s="7">
        <f t="shared" si="4"/>
        <v>0</v>
      </c>
      <c r="H15" s="7">
        <f t="shared" si="4"/>
        <v>0</v>
      </c>
      <c r="I15" s="7">
        <f t="shared" si="4"/>
        <v>0</v>
      </c>
      <c r="J15" s="7">
        <f t="shared" si="4"/>
        <v>0</v>
      </c>
      <c r="K15" s="7">
        <f t="shared" si="4"/>
        <v>0</v>
      </c>
      <c r="L15" s="7">
        <f t="shared" si="4"/>
        <v>0</v>
      </c>
      <c r="M15" s="7">
        <f t="shared" si="4"/>
        <v>0</v>
      </c>
      <c r="N15" s="7">
        <f t="shared" si="4"/>
        <v>0</v>
      </c>
      <c r="O15" s="7">
        <f t="shared" si="4"/>
        <v>0</v>
      </c>
      <c r="P15" s="7">
        <f t="shared" si="4"/>
        <v>0</v>
      </c>
      <c r="Q15" s="7">
        <f t="shared" si="4"/>
        <v>0</v>
      </c>
      <c r="R15" s="25"/>
      <c r="S15" s="8">
        <f>S11-S13</f>
        <v>0</v>
      </c>
      <c r="T15" s="25"/>
    </row>
    <row r="16" spans="1:20" x14ac:dyDescent="0.25">
      <c r="A16" s="25"/>
      <c r="B16" s="32">
        <v>3.0799999999999998E-3</v>
      </c>
      <c r="C16" s="25"/>
      <c r="D16" s="3" t="s">
        <v>22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25"/>
      <c r="S16" s="2"/>
      <c r="T16" s="25"/>
    </row>
    <row r="17" spans="1:20" x14ac:dyDescent="0.25">
      <c r="A17" s="25"/>
      <c r="B17" s="14" t="s">
        <v>12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5"/>
      <c r="S17" s="17" t="s">
        <v>15</v>
      </c>
      <c r="T17" s="25"/>
    </row>
    <row r="18" spans="1:20" x14ac:dyDescent="0.25">
      <c r="A18" s="25"/>
      <c r="B18" s="16">
        <v>45658</v>
      </c>
      <c r="C18" s="25"/>
      <c r="D18" s="4" t="s">
        <v>8</v>
      </c>
      <c r="E18" s="36">
        <f>IF($B$9="Maand",12,13.05)*IF($B$7="Opbouw vakantiegeld",1.08,1)+IF($B$8="Opbouw 13e maand",1,0)</f>
        <v>12.96</v>
      </c>
      <c r="F18" s="36">
        <f t="shared" ref="F18:Q18" si="5">IF($B$9="Maand",12,13.05)*IF($B$7="Opbouw vakantiegeld",1.08,1)+IF($B$8="Opbouw 13e maand",1,0)</f>
        <v>12.96</v>
      </c>
      <c r="G18" s="36">
        <f t="shared" si="5"/>
        <v>12.96</v>
      </c>
      <c r="H18" s="36">
        <f t="shared" si="5"/>
        <v>12.96</v>
      </c>
      <c r="I18" s="36">
        <f t="shared" si="5"/>
        <v>12.96</v>
      </c>
      <c r="J18" s="36">
        <f t="shared" si="5"/>
        <v>12.96</v>
      </c>
      <c r="K18" s="36">
        <f t="shared" si="5"/>
        <v>12.96</v>
      </c>
      <c r="L18" s="36">
        <f t="shared" si="5"/>
        <v>12.96</v>
      </c>
      <c r="M18" s="36">
        <f t="shared" si="5"/>
        <v>12.96</v>
      </c>
      <c r="N18" s="36">
        <f t="shared" si="5"/>
        <v>12.96</v>
      </c>
      <c r="O18" s="36">
        <f t="shared" si="5"/>
        <v>12.96</v>
      </c>
      <c r="P18" s="36">
        <f t="shared" si="5"/>
        <v>12.96</v>
      </c>
      <c r="Q18" s="36">
        <f t="shared" si="5"/>
        <v>12.96</v>
      </c>
      <c r="R18" s="25"/>
      <c r="S18" s="8">
        <f>SUM(E22:Q22)</f>
        <v>0</v>
      </c>
      <c r="T18" s="25"/>
    </row>
    <row r="19" spans="1:20" x14ac:dyDescent="0.25">
      <c r="A19" s="25"/>
      <c r="B19" s="14" t="s">
        <v>13</v>
      </c>
      <c r="C19" s="25"/>
      <c r="D19" s="4" t="s">
        <v>10</v>
      </c>
      <c r="E19" s="10">
        <f>IF($B$9="Maand",MAX(DAYS360(MAX(E1,$B$18),E2+1),0),MAX(DAYS360(MAX(E3,$B$18),E4+1),0))</f>
        <v>30</v>
      </c>
      <c r="F19" s="10">
        <f t="shared" ref="F19:Q19" si="6">IF($B$9="Maand",MAX(DAYS360(MAX(F1,$B$18),F2+1),0),MAX(DAYS360(MAX(F3,$B$18),F4+1),0))</f>
        <v>30</v>
      </c>
      <c r="G19" s="10">
        <f t="shared" si="6"/>
        <v>30</v>
      </c>
      <c r="H19" s="10">
        <f t="shared" si="6"/>
        <v>30</v>
      </c>
      <c r="I19" s="10">
        <f t="shared" si="6"/>
        <v>30</v>
      </c>
      <c r="J19" s="10">
        <f t="shared" si="6"/>
        <v>30</v>
      </c>
      <c r="K19" s="10">
        <f t="shared" si="6"/>
        <v>30</v>
      </c>
      <c r="L19" s="10">
        <f t="shared" si="6"/>
        <v>30</v>
      </c>
      <c r="M19" s="10">
        <f t="shared" si="6"/>
        <v>30</v>
      </c>
      <c r="N19" s="10">
        <f t="shared" si="6"/>
        <v>30</v>
      </c>
      <c r="O19" s="10">
        <f t="shared" si="6"/>
        <v>30</v>
      </c>
      <c r="P19" s="10">
        <f t="shared" si="6"/>
        <v>30</v>
      </c>
      <c r="Q19" s="10">
        <f t="shared" si="6"/>
        <v>0</v>
      </c>
      <c r="R19" s="25"/>
      <c r="S19" s="17" t="s">
        <v>17</v>
      </c>
      <c r="T19" s="25"/>
    </row>
    <row r="20" spans="1:20" x14ac:dyDescent="0.25">
      <c r="A20" s="25"/>
      <c r="B20" s="16">
        <v>46022</v>
      </c>
      <c r="C20" s="25"/>
      <c r="D20" s="4" t="s">
        <v>1</v>
      </c>
      <c r="E20" s="11">
        <f>IF($B$6="Contractant",(E6*E18)+E11+E10,(E7*E18)+E11)</f>
        <v>0</v>
      </c>
      <c r="F20" s="11">
        <f t="shared" ref="F20:Q20" si="7">IF($B$6="Contractant",(F6*F18)+F11+F10,(F7*F18)+F11)</f>
        <v>0</v>
      </c>
      <c r="G20" s="11">
        <f t="shared" si="7"/>
        <v>0</v>
      </c>
      <c r="H20" s="11">
        <f t="shared" si="7"/>
        <v>0</v>
      </c>
      <c r="I20" s="11">
        <f t="shared" si="7"/>
        <v>0</v>
      </c>
      <c r="J20" s="11">
        <f t="shared" si="7"/>
        <v>0</v>
      </c>
      <c r="K20" s="11">
        <f t="shared" si="7"/>
        <v>0</v>
      </c>
      <c r="L20" s="11">
        <f t="shared" si="7"/>
        <v>0</v>
      </c>
      <c r="M20" s="11">
        <f t="shared" si="7"/>
        <v>0</v>
      </c>
      <c r="N20" s="11">
        <f t="shared" si="7"/>
        <v>0</v>
      </c>
      <c r="O20" s="11">
        <f t="shared" si="7"/>
        <v>0</v>
      </c>
      <c r="P20" s="11">
        <f t="shared" si="7"/>
        <v>0</v>
      </c>
      <c r="Q20" s="11">
        <f t="shared" si="7"/>
        <v>0</v>
      </c>
      <c r="R20" s="25"/>
      <c r="S20" s="9">
        <f>B16*(MAX(S6,66956)-66956)</f>
        <v>0</v>
      </c>
      <c r="T20" s="25"/>
    </row>
    <row r="21" spans="1:20" x14ac:dyDescent="0.25">
      <c r="A21" s="25"/>
      <c r="B21" s="13"/>
      <c r="C21" s="25"/>
      <c r="D21" s="4" t="s">
        <v>2</v>
      </c>
      <c r="E21" s="11">
        <f>((E20*$B$14)/360)*E19</f>
        <v>0</v>
      </c>
      <c r="F21" s="11">
        <f t="shared" ref="F21:Q21" si="8">((F20*$B$14)/360)*F19</f>
        <v>0</v>
      </c>
      <c r="G21" s="11">
        <f t="shared" si="8"/>
        <v>0</v>
      </c>
      <c r="H21" s="11">
        <f t="shared" si="8"/>
        <v>0</v>
      </c>
      <c r="I21" s="11">
        <f t="shared" si="8"/>
        <v>0</v>
      </c>
      <c r="J21" s="11">
        <f t="shared" si="8"/>
        <v>0</v>
      </c>
      <c r="K21" s="11">
        <f t="shared" si="8"/>
        <v>0</v>
      </c>
      <c r="L21" s="11">
        <f t="shared" si="8"/>
        <v>0</v>
      </c>
      <c r="M21" s="11">
        <f t="shared" si="8"/>
        <v>0</v>
      </c>
      <c r="N21" s="11">
        <f t="shared" si="8"/>
        <v>0</v>
      </c>
      <c r="O21" s="11">
        <f t="shared" si="8"/>
        <v>0</v>
      </c>
      <c r="P21" s="11">
        <f t="shared" si="8"/>
        <v>0</v>
      </c>
      <c r="Q21" s="11">
        <f t="shared" si="8"/>
        <v>0</v>
      </c>
      <c r="R21" s="25"/>
      <c r="S21" s="17" t="s">
        <v>16</v>
      </c>
      <c r="T21" s="25"/>
    </row>
    <row r="22" spans="1:20" x14ac:dyDescent="0.25">
      <c r="A22" s="25"/>
      <c r="B22" s="12"/>
      <c r="C22" s="25"/>
      <c r="D22" s="4" t="s">
        <v>3</v>
      </c>
      <c r="E22" s="11">
        <f>((MAX(E20,$B$12)-$B$12)*$B$16)/360*E19</f>
        <v>0</v>
      </c>
      <c r="F22" s="11">
        <f t="shared" ref="F22:Q22" si="9">((MAX(F20,$B$12)-$B$12)*$B$16)/360*F19</f>
        <v>0</v>
      </c>
      <c r="G22" s="11">
        <f t="shared" si="9"/>
        <v>0</v>
      </c>
      <c r="H22" s="11">
        <f t="shared" si="9"/>
        <v>0</v>
      </c>
      <c r="I22" s="11">
        <f t="shared" si="9"/>
        <v>0</v>
      </c>
      <c r="J22" s="11">
        <f t="shared" si="9"/>
        <v>0</v>
      </c>
      <c r="K22" s="11">
        <f t="shared" si="9"/>
        <v>0</v>
      </c>
      <c r="L22" s="11">
        <f t="shared" si="9"/>
        <v>0</v>
      </c>
      <c r="M22" s="11">
        <f t="shared" si="9"/>
        <v>0</v>
      </c>
      <c r="N22" s="11">
        <f t="shared" si="9"/>
        <v>0</v>
      </c>
      <c r="O22" s="11">
        <f t="shared" si="9"/>
        <v>0</v>
      </c>
      <c r="P22" s="11">
        <f t="shared" si="9"/>
        <v>0</v>
      </c>
      <c r="Q22" s="11">
        <f t="shared" si="9"/>
        <v>0</v>
      </c>
      <c r="R22" s="25"/>
      <c r="S22" s="8">
        <f>S18-S20</f>
        <v>0</v>
      </c>
      <c r="T22" s="25"/>
    </row>
    <row r="23" spans="1:20" s="25" customFormat="1" x14ac:dyDescent="0.25"/>
    <row r="24" spans="1:20" x14ac:dyDescent="0.25">
      <c r="F24" s="6"/>
    </row>
    <row r="25" spans="1:20" x14ac:dyDescent="0.25">
      <c r="F25" s="6"/>
    </row>
    <row r="26" spans="1:20" x14ac:dyDescent="0.25">
      <c r="F26" s="6"/>
    </row>
    <row r="27" spans="1:20" x14ac:dyDescent="0.25">
      <c r="F27" s="6"/>
    </row>
    <row r="28" spans="1:20" x14ac:dyDescent="0.25">
      <c r="D28" s="5"/>
    </row>
    <row r="29" spans="1:20" x14ac:dyDescent="0.25">
      <c r="D29" s="1"/>
    </row>
  </sheetData>
  <dataValidations count="4">
    <dataValidation type="list" allowBlank="1" showInputMessage="1" showErrorMessage="1" sqref="B6" xr:uid="{AC08E376-9E48-A246-AAF1-F90C263699FD}">
      <formula1>"Oproepkracht,Contractant"</formula1>
    </dataValidation>
    <dataValidation type="list" allowBlank="1" showInputMessage="1" showErrorMessage="1" sqref="B7" xr:uid="{1708A4A8-6765-944C-8F2D-02192722F7EB}">
      <formula1>"Opbouw vakantiegeld,Geen vakantiegeld,Betaling vakantiegeld maandelijks"</formula1>
    </dataValidation>
    <dataValidation type="list" allowBlank="1" showInputMessage="1" showErrorMessage="1" sqref="B8" xr:uid="{4E754BE8-6F6D-8F42-AC0B-DB82D23CCBAC}">
      <formula1>"Opbouw 13e maand, Geen 13e maand"</formula1>
    </dataValidation>
    <dataValidation type="list" allowBlank="1" showInputMessage="1" showErrorMessage="1" sqref="B9:B10" xr:uid="{01CD01A9-2268-C94B-83E6-BC119D78BEDD}">
      <formula1>"Maand,4 weken"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70C4-D51A-4A79-A0A6-469D5870D26B}">
  <dimension ref="A1:T29"/>
  <sheetViews>
    <sheetView zoomScale="90" zoomScaleNormal="90" workbookViewId="0"/>
  </sheetViews>
  <sheetFormatPr defaultColWidth="11" defaultRowHeight="15.75" x14ac:dyDescent="0.25"/>
  <cols>
    <col min="1" max="1" width="2.625" customWidth="1"/>
    <col min="2" max="2" width="20" bestFit="1" customWidth="1"/>
    <col min="3" max="3" width="2.625" customWidth="1"/>
    <col min="4" max="4" width="41.5" bestFit="1" customWidth="1"/>
    <col min="5" max="17" width="12.125" bestFit="1" customWidth="1"/>
    <col min="18" max="18" width="2.625" customWidth="1"/>
    <col min="19" max="19" width="19.875" bestFit="1" customWidth="1"/>
    <col min="20" max="20" width="2.625" customWidth="1"/>
  </cols>
  <sheetData>
    <row r="1" spans="1:20" s="30" customFormat="1" x14ac:dyDescent="0.25">
      <c r="A1" s="29"/>
      <c r="B1" s="29"/>
      <c r="C1" s="29"/>
      <c r="D1" s="33" t="s">
        <v>9</v>
      </c>
      <c r="E1" s="34">
        <v>45292</v>
      </c>
      <c r="F1" s="34">
        <v>45323</v>
      </c>
      <c r="G1" s="34">
        <v>45352</v>
      </c>
      <c r="H1" s="34">
        <v>45383</v>
      </c>
      <c r="I1" s="34">
        <v>45413</v>
      </c>
      <c r="J1" s="34">
        <v>45444</v>
      </c>
      <c r="K1" s="34">
        <v>45474</v>
      </c>
      <c r="L1" s="34">
        <v>45505</v>
      </c>
      <c r="M1" s="34">
        <v>45536</v>
      </c>
      <c r="N1" s="34">
        <v>45566</v>
      </c>
      <c r="O1" s="34">
        <v>45597</v>
      </c>
      <c r="P1" s="34">
        <v>45627</v>
      </c>
      <c r="Q1" s="34"/>
      <c r="R1" s="29"/>
      <c r="S1" s="29"/>
      <c r="T1" s="29"/>
    </row>
    <row r="2" spans="1:20" s="30" customFormat="1" x14ac:dyDescent="0.25">
      <c r="A2" s="29"/>
      <c r="B2" s="29"/>
      <c r="C2" s="29"/>
      <c r="D2" s="33" t="s">
        <v>9</v>
      </c>
      <c r="E2" s="34">
        <v>45322</v>
      </c>
      <c r="F2" s="34">
        <v>45350</v>
      </c>
      <c r="G2" s="34">
        <v>45382</v>
      </c>
      <c r="H2" s="34">
        <v>45412</v>
      </c>
      <c r="I2" s="34">
        <v>45443</v>
      </c>
      <c r="J2" s="34">
        <v>45473</v>
      </c>
      <c r="K2" s="34">
        <v>45504</v>
      </c>
      <c r="L2" s="34">
        <v>45535</v>
      </c>
      <c r="M2" s="34">
        <v>45565</v>
      </c>
      <c r="N2" s="34">
        <v>45596</v>
      </c>
      <c r="O2" s="34">
        <v>45626</v>
      </c>
      <c r="P2" s="34">
        <v>45657</v>
      </c>
      <c r="Q2" s="34"/>
      <c r="R2" s="29"/>
      <c r="S2" s="29"/>
      <c r="T2" s="29"/>
    </row>
    <row r="3" spans="1:20" s="30" customFormat="1" x14ac:dyDescent="0.25">
      <c r="A3" s="29"/>
      <c r="B3" s="29"/>
      <c r="C3" s="29"/>
      <c r="D3" s="33" t="s">
        <v>6</v>
      </c>
      <c r="E3" s="34">
        <v>45292</v>
      </c>
      <c r="F3" s="34">
        <v>45321</v>
      </c>
      <c r="G3" s="34">
        <v>45349</v>
      </c>
      <c r="H3" s="34">
        <f>G3+28</f>
        <v>45377</v>
      </c>
      <c r="I3" s="34">
        <f t="shared" ref="I3:Q3" si="0">H3+28</f>
        <v>45405</v>
      </c>
      <c r="J3" s="34">
        <f t="shared" si="0"/>
        <v>45433</v>
      </c>
      <c r="K3" s="34">
        <f t="shared" si="0"/>
        <v>45461</v>
      </c>
      <c r="L3" s="34">
        <f t="shared" si="0"/>
        <v>45489</v>
      </c>
      <c r="M3" s="34">
        <f t="shared" si="0"/>
        <v>45517</v>
      </c>
      <c r="N3" s="34">
        <f t="shared" si="0"/>
        <v>45545</v>
      </c>
      <c r="O3" s="34">
        <f t="shared" si="0"/>
        <v>45573</v>
      </c>
      <c r="P3" s="34">
        <f t="shared" si="0"/>
        <v>45601</v>
      </c>
      <c r="Q3" s="34">
        <f t="shared" si="0"/>
        <v>45629</v>
      </c>
      <c r="R3" s="29"/>
      <c r="S3" s="29"/>
      <c r="T3" s="29"/>
    </row>
    <row r="4" spans="1:20" s="30" customFormat="1" x14ac:dyDescent="0.25">
      <c r="A4" s="29"/>
      <c r="B4" s="29"/>
      <c r="C4" s="29"/>
      <c r="D4" s="33" t="s">
        <v>11</v>
      </c>
      <c r="E4" s="34">
        <v>45320</v>
      </c>
      <c r="F4" s="34">
        <f>E4+28</f>
        <v>45348</v>
      </c>
      <c r="G4" s="34">
        <f t="shared" ref="G4:Q4" si="1">F4+28</f>
        <v>45376</v>
      </c>
      <c r="H4" s="34">
        <f t="shared" si="1"/>
        <v>45404</v>
      </c>
      <c r="I4" s="34">
        <f t="shared" si="1"/>
        <v>45432</v>
      </c>
      <c r="J4" s="34">
        <f t="shared" si="1"/>
        <v>45460</v>
      </c>
      <c r="K4" s="34">
        <f t="shared" si="1"/>
        <v>45488</v>
      </c>
      <c r="L4" s="34">
        <f t="shared" si="1"/>
        <v>45516</v>
      </c>
      <c r="M4" s="34">
        <f t="shared" si="1"/>
        <v>45544</v>
      </c>
      <c r="N4" s="34">
        <f t="shared" si="1"/>
        <v>45572</v>
      </c>
      <c r="O4" s="34">
        <f t="shared" si="1"/>
        <v>45600</v>
      </c>
      <c r="P4" s="34">
        <f t="shared" si="1"/>
        <v>45628</v>
      </c>
      <c r="Q4" s="34">
        <f t="shared" si="1"/>
        <v>45656</v>
      </c>
      <c r="R4" s="29"/>
      <c r="S4" s="29"/>
      <c r="T4" s="29"/>
    </row>
    <row r="5" spans="1:20" s="18" customFormat="1" ht="34.5" customHeight="1" x14ac:dyDescent="0.25">
      <c r="A5" s="24"/>
      <c r="B5" s="21"/>
      <c r="C5" s="24"/>
      <c r="D5" s="19"/>
      <c r="E5" s="27" t="str">
        <f>IF($B$9="Maand","Januari", "01-01-2024 - 29-01-2024")</f>
        <v>Januari</v>
      </c>
      <c r="F5" s="27" t="str">
        <f>IF($B$9="Maand","Februari", "30-01-2024 - 26-02-2024")</f>
        <v>Februari</v>
      </c>
      <c r="G5" s="27" t="str">
        <f>IF($B$9="Maand","Maart", "27-02-2024 - 26-03-2024")</f>
        <v>Maart</v>
      </c>
      <c r="H5" s="27" t="str">
        <f>IF($B$9="Maand","April", "27-03-2024 - 23-04-2024")</f>
        <v>April</v>
      </c>
      <c r="I5" s="27" t="str">
        <f>IF($B$9="Maand","Mei", "24-04-2024 - 21-05-2024")</f>
        <v>Mei</v>
      </c>
      <c r="J5" s="27" t="str">
        <f>IF($B$9="Maand","Juni", "22-05-2024 - 18-06-2024")</f>
        <v>Juni</v>
      </c>
      <c r="K5" s="27" t="str">
        <f>IF($B$9="Maand","Juli", "19-06-2024 - 16-07-2024")</f>
        <v>Juli</v>
      </c>
      <c r="L5" s="27" t="str">
        <f>IF($B$9="Maand","Augustus", "17-07-2024 - 13-08-2024")</f>
        <v>Augustus</v>
      </c>
      <c r="M5" s="27" t="str">
        <f>IF($B$9="Maand","September", "14-08-2024 - 10-09-2024")</f>
        <v>September</v>
      </c>
      <c r="N5" s="27" t="str">
        <f>IF($B$9="Maand","Oktober", "11-09-2024 - 08-10-2024")</f>
        <v>Oktober</v>
      </c>
      <c r="O5" s="27" t="str">
        <f>IF($B$9="Maand","November", "09-10-2024 - 05-11-2024")</f>
        <v>November</v>
      </c>
      <c r="P5" s="27" t="str">
        <f>IF($B$9="Maand","December", "06-11-2024 - 03-12-2024")</f>
        <v>December</v>
      </c>
      <c r="Q5" s="27" t="str">
        <f>IF($B$9="Maand","", "04-12-2024 - 31-12-2024")</f>
        <v/>
      </c>
      <c r="R5" s="24"/>
      <c r="S5" s="20" t="s">
        <v>4</v>
      </c>
      <c r="T5" s="24"/>
    </row>
    <row r="6" spans="1:20" x14ac:dyDescent="0.25">
      <c r="A6" s="25"/>
      <c r="B6" s="15" t="s">
        <v>9</v>
      </c>
      <c r="C6" s="25"/>
      <c r="D6" s="3" t="s">
        <v>26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25"/>
      <c r="S6" s="8">
        <f>IF((_xlfn.DAYS(B20,B18)/_xlfn.DAYS(DATE(YEAR(B20),12,31),DATE(YEAR(B18),1,1)))&lt;1,(SUM(E8:Q8)-SUM(E9:Q9)-SUM(E12:Q12))/(_xlfn.DAYS(B20,B18)/_xlfn.DAYS(DATE(YEAR(B20),12,31),DATE(YEAR(B18),1,1)))+SUM(E12:Q12),(SUM(E8:Q8)-SUM(E9:Q9))/(_xlfn.DAYS(B20,B18)/(_xlfn.DAYS(DATE(YEAR(B20),12,31),DATE(YEAR(B18),1,1)))))</f>
        <v>0</v>
      </c>
      <c r="T6" s="25"/>
    </row>
    <row r="7" spans="1:20" x14ac:dyDescent="0.25">
      <c r="A7" s="25"/>
      <c r="B7" s="15" t="s">
        <v>32</v>
      </c>
      <c r="C7" s="25"/>
      <c r="D7" s="3" t="s">
        <v>27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25"/>
      <c r="S7" s="8"/>
      <c r="T7" s="25"/>
    </row>
    <row r="8" spans="1:20" x14ac:dyDescent="0.25">
      <c r="A8" s="25"/>
      <c r="B8" s="15" t="s">
        <v>31</v>
      </c>
      <c r="C8" s="25"/>
      <c r="D8" s="3" t="s">
        <v>25</v>
      </c>
      <c r="E8" s="7">
        <f t="shared" ref="E8:Q8" si="2">E6+E7+E12+E9</f>
        <v>0</v>
      </c>
      <c r="F8" s="7">
        <f t="shared" si="2"/>
        <v>0</v>
      </c>
      <c r="G8" s="7">
        <f t="shared" si="2"/>
        <v>0</v>
      </c>
      <c r="H8" s="7">
        <f>H6+H7+H12+H9</f>
        <v>0</v>
      </c>
      <c r="I8" s="7">
        <f t="shared" si="2"/>
        <v>0</v>
      </c>
      <c r="J8" s="7">
        <f t="shared" si="2"/>
        <v>0</v>
      </c>
      <c r="K8" s="7">
        <f t="shared" si="2"/>
        <v>0</v>
      </c>
      <c r="L8" s="7">
        <f t="shared" si="2"/>
        <v>0</v>
      </c>
      <c r="M8" s="7">
        <f t="shared" si="2"/>
        <v>0</v>
      </c>
      <c r="N8" s="7">
        <f t="shared" si="2"/>
        <v>0</v>
      </c>
      <c r="O8" s="7">
        <f t="shared" si="2"/>
        <v>0</v>
      </c>
      <c r="P8" s="7">
        <f t="shared" si="2"/>
        <v>0</v>
      </c>
      <c r="Q8" s="7">
        <f t="shared" si="2"/>
        <v>0</v>
      </c>
      <c r="R8" s="25"/>
      <c r="S8" s="2"/>
      <c r="T8" s="25"/>
    </row>
    <row r="9" spans="1:20" x14ac:dyDescent="0.25">
      <c r="A9" s="25"/>
      <c r="B9" s="15" t="s">
        <v>7</v>
      </c>
      <c r="C9" s="25"/>
      <c r="D9" s="3" t="s">
        <v>28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25"/>
      <c r="S9" s="17" t="s">
        <v>14</v>
      </c>
      <c r="T9" s="25"/>
    </row>
    <row r="10" spans="1:20" x14ac:dyDescent="0.25">
      <c r="A10" s="25"/>
      <c r="B10" s="15"/>
      <c r="C10" s="25"/>
      <c r="D10" s="3" t="s">
        <v>29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25"/>
      <c r="S10" s="17"/>
      <c r="T10" s="25"/>
    </row>
    <row r="11" spans="1:20" x14ac:dyDescent="0.25">
      <c r="A11" s="25"/>
      <c r="B11" s="14" t="s">
        <v>20</v>
      </c>
      <c r="C11" s="25"/>
      <c r="D11" s="3" t="s">
        <v>30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25"/>
      <c r="S11" s="8">
        <f>SUM(E21:Q21)</f>
        <v>0</v>
      </c>
      <c r="T11" s="25"/>
    </row>
    <row r="12" spans="1:20" x14ac:dyDescent="0.25">
      <c r="A12" s="25"/>
      <c r="B12" s="28">
        <v>71628</v>
      </c>
      <c r="C12" s="25"/>
      <c r="D12" s="3" t="s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25"/>
      <c r="S12" s="17" t="s">
        <v>5</v>
      </c>
      <c r="T12" s="25"/>
    </row>
    <row r="13" spans="1:20" x14ac:dyDescent="0.25">
      <c r="A13" s="25"/>
      <c r="B13" s="14" t="s">
        <v>18</v>
      </c>
      <c r="C13" s="25"/>
      <c r="D13" s="3" t="s">
        <v>24</v>
      </c>
      <c r="E13" s="7">
        <f>ROUND(IF($B$7="Opbouw vakantiegeld",0.08*(E8-E9-E14-E16), 0),2)</f>
        <v>0</v>
      </c>
      <c r="F13" s="7">
        <f t="shared" ref="F13:Q13" si="3">ROUND(IF($B$7="Opbouw vakantiegeld",0.08*(F8-F9-F10-F11-F14-F16), 0),2)</f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0</v>
      </c>
      <c r="P13" s="7">
        <f t="shared" si="3"/>
        <v>0</v>
      </c>
      <c r="Q13" s="7">
        <f t="shared" si="3"/>
        <v>0</v>
      </c>
      <c r="R13" s="25"/>
      <c r="S13" s="8">
        <f>B14*S6</f>
        <v>0</v>
      </c>
      <c r="T13" s="25"/>
    </row>
    <row r="14" spans="1:20" x14ac:dyDescent="0.25">
      <c r="A14" s="25"/>
      <c r="B14" s="31">
        <v>5.79E-3</v>
      </c>
      <c r="C14" s="25"/>
      <c r="D14" s="3" t="s">
        <v>23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25"/>
      <c r="S14" s="17" t="s">
        <v>16</v>
      </c>
      <c r="T14" s="25"/>
    </row>
    <row r="15" spans="1:20" x14ac:dyDescent="0.25">
      <c r="A15" s="25"/>
      <c r="B15" s="14" t="s">
        <v>19</v>
      </c>
      <c r="C15" s="25"/>
      <c r="D15" s="3" t="s">
        <v>21</v>
      </c>
      <c r="E15" s="7">
        <f>ROUND(IF($B$8="Opbouw 13e maand",0.083333*(E8-E14-E16),0),2)</f>
        <v>0</v>
      </c>
      <c r="F15" s="7">
        <f t="shared" ref="F15:Q15" si="4">ROUND(IF($B$8="Opbouw 13e maand",0.083333*(F8-F14-F16),0),2)</f>
        <v>0</v>
      </c>
      <c r="G15" s="7">
        <f t="shared" si="4"/>
        <v>0</v>
      </c>
      <c r="H15" s="7">
        <f t="shared" si="4"/>
        <v>0</v>
      </c>
      <c r="I15" s="7">
        <f t="shared" si="4"/>
        <v>0</v>
      </c>
      <c r="J15" s="7">
        <f t="shared" si="4"/>
        <v>0</v>
      </c>
      <c r="K15" s="7">
        <f t="shared" si="4"/>
        <v>0</v>
      </c>
      <c r="L15" s="7">
        <f t="shared" si="4"/>
        <v>0</v>
      </c>
      <c r="M15" s="7">
        <f t="shared" si="4"/>
        <v>0</v>
      </c>
      <c r="N15" s="7">
        <f t="shared" si="4"/>
        <v>0</v>
      </c>
      <c r="O15" s="7">
        <f t="shared" si="4"/>
        <v>0</v>
      </c>
      <c r="P15" s="7">
        <f t="shared" si="4"/>
        <v>0</v>
      </c>
      <c r="Q15" s="7">
        <f t="shared" si="4"/>
        <v>0</v>
      </c>
      <c r="R15" s="25"/>
      <c r="S15" s="8">
        <f>S11-S13</f>
        <v>0</v>
      </c>
      <c r="T15" s="25"/>
    </row>
    <row r="16" spans="1:20" x14ac:dyDescent="0.25">
      <c r="A16" s="25"/>
      <c r="B16" s="32">
        <v>3.0800000000000001E-2</v>
      </c>
      <c r="C16" s="25"/>
      <c r="D16" s="3" t="s">
        <v>22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25"/>
      <c r="S16" s="2"/>
      <c r="T16" s="25"/>
    </row>
    <row r="17" spans="1:20" x14ac:dyDescent="0.25">
      <c r="A17" s="25"/>
      <c r="B17" s="14" t="s">
        <v>12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5"/>
      <c r="S17" s="17" t="s">
        <v>15</v>
      </c>
      <c r="T17" s="25"/>
    </row>
    <row r="18" spans="1:20" x14ac:dyDescent="0.25">
      <c r="A18" s="25"/>
      <c r="B18" s="16">
        <v>45292</v>
      </c>
      <c r="C18" s="25"/>
      <c r="D18" s="4" t="s">
        <v>8</v>
      </c>
      <c r="E18" s="36">
        <f>IF($B$9="Maand",12,13.05)*IF($B$7="Opbouw vakantiegeld",1.08,1)+IF($B$8="Opbouw 13e maand",1,0)</f>
        <v>12.96</v>
      </c>
      <c r="F18" s="36">
        <f t="shared" ref="F18:Q18" si="5">IF($B$9="Maand",12,13.05)*IF($B$7="Opbouw vakantiegeld",1.08,1)+IF($B$8="Opbouw 13e maand",1,0)</f>
        <v>12.96</v>
      </c>
      <c r="G18" s="36">
        <f t="shared" si="5"/>
        <v>12.96</v>
      </c>
      <c r="H18" s="36">
        <f t="shared" si="5"/>
        <v>12.96</v>
      </c>
      <c r="I18" s="36">
        <f t="shared" si="5"/>
        <v>12.96</v>
      </c>
      <c r="J18" s="36">
        <f t="shared" si="5"/>
        <v>12.96</v>
      </c>
      <c r="K18" s="36">
        <f t="shared" si="5"/>
        <v>12.96</v>
      </c>
      <c r="L18" s="36">
        <f t="shared" si="5"/>
        <v>12.96</v>
      </c>
      <c r="M18" s="36">
        <f t="shared" si="5"/>
        <v>12.96</v>
      </c>
      <c r="N18" s="36">
        <f t="shared" si="5"/>
        <v>12.96</v>
      </c>
      <c r="O18" s="36">
        <f t="shared" si="5"/>
        <v>12.96</v>
      </c>
      <c r="P18" s="36">
        <f t="shared" si="5"/>
        <v>12.96</v>
      </c>
      <c r="Q18" s="36">
        <f t="shared" si="5"/>
        <v>12.96</v>
      </c>
      <c r="R18" s="25"/>
      <c r="S18" s="8">
        <f>SUM(E22:Q22)</f>
        <v>0</v>
      </c>
      <c r="T18" s="25"/>
    </row>
    <row r="19" spans="1:20" x14ac:dyDescent="0.25">
      <c r="A19" s="25"/>
      <c r="B19" s="14" t="s">
        <v>13</v>
      </c>
      <c r="C19" s="25"/>
      <c r="D19" s="4" t="s">
        <v>10</v>
      </c>
      <c r="E19" s="10">
        <f>IF($B$9="Maand",MAX(DAYS360(MAX(E1,$B$18),E2+1),0),MAX(DAYS360(MAX(E3,$B$18),E4+1),0))</f>
        <v>30</v>
      </c>
      <c r="F19" s="10">
        <f t="shared" ref="F19:Q19" si="6">IF($B$9="Maand",MAX(DAYS360(MAX(F1,$B$18),F2+1),0),MAX(DAYS360(MAX(F3,$B$18),F4+1),0))</f>
        <v>28</v>
      </c>
      <c r="G19" s="10">
        <f t="shared" si="6"/>
        <v>30</v>
      </c>
      <c r="H19" s="10">
        <f t="shared" si="6"/>
        <v>30</v>
      </c>
      <c r="I19" s="10">
        <f t="shared" si="6"/>
        <v>30</v>
      </c>
      <c r="J19" s="10">
        <f t="shared" si="6"/>
        <v>30</v>
      </c>
      <c r="K19" s="10">
        <f t="shared" si="6"/>
        <v>30</v>
      </c>
      <c r="L19" s="10">
        <f t="shared" si="6"/>
        <v>30</v>
      </c>
      <c r="M19" s="10">
        <f t="shared" si="6"/>
        <v>30</v>
      </c>
      <c r="N19" s="10">
        <f t="shared" si="6"/>
        <v>30</v>
      </c>
      <c r="O19" s="10">
        <f t="shared" si="6"/>
        <v>30</v>
      </c>
      <c r="P19" s="10">
        <f t="shared" si="6"/>
        <v>30</v>
      </c>
      <c r="Q19" s="10">
        <f t="shared" si="6"/>
        <v>0</v>
      </c>
      <c r="R19" s="25"/>
      <c r="S19" s="17" t="s">
        <v>17</v>
      </c>
      <c r="T19" s="25"/>
    </row>
    <row r="20" spans="1:20" x14ac:dyDescent="0.25">
      <c r="A20" s="25"/>
      <c r="B20" s="16">
        <v>45657</v>
      </c>
      <c r="C20" s="25"/>
      <c r="D20" s="4" t="s">
        <v>1</v>
      </c>
      <c r="E20" s="11">
        <f>IF($B$6="Contractant",(E6*E18)+E11+E10,(E7*E18)+E11)</f>
        <v>0</v>
      </c>
      <c r="F20" s="11">
        <f t="shared" ref="F20:Q20" si="7">IF($B$6="Contractant",(F6*F18)+F11+F10,(F7*F18)+F11)</f>
        <v>0</v>
      </c>
      <c r="G20" s="11">
        <f t="shared" si="7"/>
        <v>0</v>
      </c>
      <c r="H20" s="11">
        <f t="shared" si="7"/>
        <v>0</v>
      </c>
      <c r="I20" s="11">
        <f t="shared" si="7"/>
        <v>0</v>
      </c>
      <c r="J20" s="11">
        <f t="shared" si="7"/>
        <v>0</v>
      </c>
      <c r="K20" s="11">
        <f t="shared" si="7"/>
        <v>0</v>
      </c>
      <c r="L20" s="11">
        <f t="shared" si="7"/>
        <v>0</v>
      </c>
      <c r="M20" s="11">
        <f t="shared" si="7"/>
        <v>0</v>
      </c>
      <c r="N20" s="11">
        <f t="shared" si="7"/>
        <v>0</v>
      </c>
      <c r="O20" s="11">
        <f t="shared" si="7"/>
        <v>0</v>
      </c>
      <c r="P20" s="11">
        <f t="shared" si="7"/>
        <v>0</v>
      </c>
      <c r="Q20" s="11">
        <f t="shared" si="7"/>
        <v>0</v>
      </c>
      <c r="R20" s="25"/>
      <c r="S20" s="9">
        <f>B16*(MAX(S6,66956)-66956)</f>
        <v>0</v>
      </c>
      <c r="T20" s="25"/>
    </row>
    <row r="21" spans="1:20" x14ac:dyDescent="0.25">
      <c r="A21" s="25"/>
      <c r="B21" s="13"/>
      <c r="C21" s="25"/>
      <c r="D21" s="4" t="s">
        <v>2</v>
      </c>
      <c r="E21" s="11">
        <f>((E20*$B$14)/360)*E19</f>
        <v>0</v>
      </c>
      <c r="F21" s="11">
        <f t="shared" ref="F21:Q21" si="8">((F20*$B$14)/360)*F19</f>
        <v>0</v>
      </c>
      <c r="G21" s="11">
        <f t="shared" si="8"/>
        <v>0</v>
      </c>
      <c r="H21" s="11">
        <f t="shared" si="8"/>
        <v>0</v>
      </c>
      <c r="I21" s="11">
        <f t="shared" si="8"/>
        <v>0</v>
      </c>
      <c r="J21" s="11">
        <f t="shared" si="8"/>
        <v>0</v>
      </c>
      <c r="K21" s="11">
        <f t="shared" si="8"/>
        <v>0</v>
      </c>
      <c r="L21" s="11">
        <f t="shared" si="8"/>
        <v>0</v>
      </c>
      <c r="M21" s="11">
        <f t="shared" si="8"/>
        <v>0</v>
      </c>
      <c r="N21" s="11">
        <f t="shared" si="8"/>
        <v>0</v>
      </c>
      <c r="O21" s="11">
        <f t="shared" si="8"/>
        <v>0</v>
      </c>
      <c r="P21" s="11">
        <f t="shared" si="8"/>
        <v>0</v>
      </c>
      <c r="Q21" s="11">
        <f t="shared" si="8"/>
        <v>0</v>
      </c>
      <c r="R21" s="25"/>
      <c r="S21" s="17" t="s">
        <v>16</v>
      </c>
      <c r="T21" s="25"/>
    </row>
    <row r="22" spans="1:20" x14ac:dyDescent="0.25">
      <c r="A22" s="25"/>
      <c r="B22" s="12"/>
      <c r="C22" s="25"/>
      <c r="D22" s="4" t="s">
        <v>3</v>
      </c>
      <c r="E22" s="11">
        <f>((MAX(E20,$B$12)-$B$12)*$B$16)/360*E19</f>
        <v>0</v>
      </c>
      <c r="F22" s="11">
        <f t="shared" ref="F22:Q22" si="9">((MAX(F20,$B$12)-$B$12)*$B$16)/360*F19</f>
        <v>0</v>
      </c>
      <c r="G22" s="11">
        <f t="shared" si="9"/>
        <v>0</v>
      </c>
      <c r="H22" s="11">
        <f t="shared" si="9"/>
        <v>0</v>
      </c>
      <c r="I22" s="11">
        <f t="shared" si="9"/>
        <v>0</v>
      </c>
      <c r="J22" s="11">
        <f t="shared" si="9"/>
        <v>0</v>
      </c>
      <c r="K22" s="11">
        <f t="shared" si="9"/>
        <v>0</v>
      </c>
      <c r="L22" s="11">
        <f t="shared" si="9"/>
        <v>0</v>
      </c>
      <c r="M22" s="11">
        <f t="shared" si="9"/>
        <v>0</v>
      </c>
      <c r="N22" s="11">
        <f t="shared" si="9"/>
        <v>0</v>
      </c>
      <c r="O22" s="11">
        <f t="shared" si="9"/>
        <v>0</v>
      </c>
      <c r="P22" s="11">
        <f t="shared" si="9"/>
        <v>0</v>
      </c>
      <c r="Q22" s="11">
        <f t="shared" si="9"/>
        <v>0</v>
      </c>
      <c r="R22" s="25"/>
      <c r="S22" s="8">
        <f>S18-S20</f>
        <v>0</v>
      </c>
      <c r="T22" s="25"/>
    </row>
    <row r="23" spans="1:20" s="25" customFormat="1" x14ac:dyDescent="0.25"/>
    <row r="24" spans="1:20" x14ac:dyDescent="0.25">
      <c r="F24" s="6"/>
    </row>
    <row r="25" spans="1:20" x14ac:dyDescent="0.25">
      <c r="F25" s="6"/>
    </row>
    <row r="26" spans="1:20" x14ac:dyDescent="0.25">
      <c r="F26" s="6"/>
    </row>
    <row r="27" spans="1:20" x14ac:dyDescent="0.25">
      <c r="F27" s="6"/>
    </row>
    <row r="28" spans="1:20" x14ac:dyDescent="0.25">
      <c r="D28" s="5"/>
    </row>
    <row r="29" spans="1:20" x14ac:dyDescent="0.25">
      <c r="D29" s="1"/>
    </row>
  </sheetData>
  <dataValidations count="4">
    <dataValidation type="list" allowBlank="1" showInputMessage="1" showErrorMessage="1" sqref="B9:B10" xr:uid="{B9B79943-728C-4B83-978B-50AC5FE0039E}">
      <formula1>"Maand,4 weken"</formula1>
    </dataValidation>
    <dataValidation type="list" allowBlank="1" showInputMessage="1" showErrorMessage="1" sqref="B8" xr:uid="{65ADBB91-F386-4BCB-A013-0D937518AE67}">
      <formula1>"Opbouw 13e maand, Geen 13e maand"</formula1>
    </dataValidation>
    <dataValidation type="list" allowBlank="1" showInputMessage="1" showErrorMessage="1" sqref="B7" xr:uid="{76112EF3-5C36-481C-9C03-CE4E7EFFED5E}">
      <formula1>"Opbouw vakantiegeld,Geen vakantiegeld,Betaling vakantiegeld maandelijks"</formula1>
    </dataValidation>
    <dataValidation type="list" allowBlank="1" showInputMessage="1" showErrorMessage="1" sqref="B6" xr:uid="{E82393A2-A39A-4F98-98B2-A41B2C992077}">
      <formula1>"Oproepkracht,Contractant"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1B7E-AD79-4B45-8A9F-7851C30B7E69}">
  <dimension ref="A1:T29"/>
  <sheetViews>
    <sheetView zoomScale="90" zoomScaleNormal="90" workbookViewId="0"/>
  </sheetViews>
  <sheetFormatPr defaultColWidth="11" defaultRowHeight="15.75" x14ac:dyDescent="0.25"/>
  <cols>
    <col min="1" max="1" width="2.625" customWidth="1"/>
    <col min="2" max="2" width="20" bestFit="1" customWidth="1"/>
    <col min="3" max="3" width="2.625" customWidth="1"/>
    <col min="4" max="4" width="41.5" bestFit="1" customWidth="1"/>
    <col min="5" max="17" width="12.125" bestFit="1" customWidth="1"/>
    <col min="18" max="18" width="2.625" customWidth="1"/>
    <col min="19" max="19" width="19.875" bestFit="1" customWidth="1"/>
    <col min="20" max="20" width="2.625" customWidth="1"/>
  </cols>
  <sheetData>
    <row r="1" spans="1:20" s="30" customFormat="1" x14ac:dyDescent="0.25">
      <c r="A1" s="29"/>
      <c r="B1" s="29"/>
      <c r="C1" s="29"/>
      <c r="D1" s="33" t="s">
        <v>9</v>
      </c>
      <c r="E1" s="34">
        <v>44927</v>
      </c>
      <c r="F1" s="34">
        <v>44958</v>
      </c>
      <c r="G1" s="34">
        <v>44986</v>
      </c>
      <c r="H1" s="34">
        <v>45017</v>
      </c>
      <c r="I1" s="34">
        <v>45047</v>
      </c>
      <c r="J1" s="34">
        <v>45078</v>
      </c>
      <c r="K1" s="34">
        <v>45108</v>
      </c>
      <c r="L1" s="34">
        <v>45139</v>
      </c>
      <c r="M1" s="34">
        <v>45170</v>
      </c>
      <c r="N1" s="34">
        <v>45200</v>
      </c>
      <c r="O1" s="34">
        <v>45231</v>
      </c>
      <c r="P1" s="34">
        <v>45261</v>
      </c>
      <c r="Q1" s="34"/>
      <c r="R1" s="29"/>
      <c r="S1" s="29"/>
      <c r="T1" s="29"/>
    </row>
    <row r="2" spans="1:20" s="30" customFormat="1" x14ac:dyDescent="0.25">
      <c r="A2" s="29"/>
      <c r="B2" s="29"/>
      <c r="C2" s="29"/>
      <c r="D2" s="33" t="s">
        <v>9</v>
      </c>
      <c r="E2" s="34">
        <v>44957</v>
      </c>
      <c r="F2" s="34">
        <v>44985</v>
      </c>
      <c r="G2" s="34">
        <v>45016</v>
      </c>
      <c r="H2" s="34">
        <v>45046</v>
      </c>
      <c r="I2" s="34">
        <v>45077</v>
      </c>
      <c r="J2" s="34">
        <v>45107</v>
      </c>
      <c r="K2" s="34">
        <v>45138</v>
      </c>
      <c r="L2" s="34">
        <v>45169</v>
      </c>
      <c r="M2" s="34">
        <v>45199</v>
      </c>
      <c r="N2" s="34">
        <v>45230</v>
      </c>
      <c r="O2" s="34">
        <v>45260</v>
      </c>
      <c r="P2" s="34">
        <v>45291</v>
      </c>
      <c r="Q2" s="34"/>
      <c r="R2" s="29"/>
      <c r="S2" s="29"/>
      <c r="T2" s="29"/>
    </row>
    <row r="3" spans="1:20" s="30" customFormat="1" x14ac:dyDescent="0.25">
      <c r="A3" s="29"/>
      <c r="B3" s="29"/>
      <c r="C3" s="29"/>
      <c r="D3" s="33" t="s">
        <v>6</v>
      </c>
      <c r="E3" s="34">
        <v>44927</v>
      </c>
      <c r="F3" s="34">
        <v>44956</v>
      </c>
      <c r="G3" s="34">
        <v>44984</v>
      </c>
      <c r="H3" s="34">
        <f>G3+28</f>
        <v>45012</v>
      </c>
      <c r="I3" s="34">
        <f t="shared" ref="I3:Q3" si="0">H3+28</f>
        <v>45040</v>
      </c>
      <c r="J3" s="34">
        <f t="shared" si="0"/>
        <v>45068</v>
      </c>
      <c r="K3" s="34">
        <f t="shared" si="0"/>
        <v>45096</v>
      </c>
      <c r="L3" s="34">
        <f t="shared" si="0"/>
        <v>45124</v>
      </c>
      <c r="M3" s="34">
        <f t="shared" si="0"/>
        <v>45152</v>
      </c>
      <c r="N3" s="34">
        <f t="shared" si="0"/>
        <v>45180</v>
      </c>
      <c r="O3" s="34">
        <f t="shared" si="0"/>
        <v>45208</v>
      </c>
      <c r="P3" s="34">
        <f t="shared" si="0"/>
        <v>45236</v>
      </c>
      <c r="Q3" s="34">
        <f t="shared" si="0"/>
        <v>45264</v>
      </c>
      <c r="R3" s="29"/>
      <c r="S3" s="29"/>
      <c r="T3" s="29"/>
    </row>
    <row r="4" spans="1:20" s="30" customFormat="1" x14ac:dyDescent="0.25">
      <c r="A4" s="29"/>
      <c r="B4" s="29"/>
      <c r="C4" s="29"/>
      <c r="D4" s="33" t="s">
        <v>11</v>
      </c>
      <c r="E4" s="34">
        <v>44955</v>
      </c>
      <c r="F4" s="34">
        <f>E4+28</f>
        <v>44983</v>
      </c>
      <c r="G4" s="34">
        <f t="shared" ref="G4:Q4" si="1">F4+28</f>
        <v>45011</v>
      </c>
      <c r="H4" s="34">
        <f t="shared" si="1"/>
        <v>45039</v>
      </c>
      <c r="I4" s="34">
        <f t="shared" si="1"/>
        <v>45067</v>
      </c>
      <c r="J4" s="34">
        <f t="shared" si="1"/>
        <v>45095</v>
      </c>
      <c r="K4" s="34">
        <f t="shared" si="1"/>
        <v>45123</v>
      </c>
      <c r="L4" s="34">
        <f t="shared" si="1"/>
        <v>45151</v>
      </c>
      <c r="M4" s="34">
        <f t="shared" si="1"/>
        <v>45179</v>
      </c>
      <c r="N4" s="34">
        <f t="shared" si="1"/>
        <v>45207</v>
      </c>
      <c r="O4" s="34">
        <f t="shared" si="1"/>
        <v>45235</v>
      </c>
      <c r="P4" s="34">
        <f t="shared" si="1"/>
        <v>45263</v>
      </c>
      <c r="Q4" s="34">
        <f t="shared" si="1"/>
        <v>45291</v>
      </c>
      <c r="R4" s="29"/>
      <c r="S4" s="29"/>
      <c r="T4" s="29"/>
    </row>
    <row r="5" spans="1:20" s="18" customFormat="1" ht="34.5" customHeight="1" x14ac:dyDescent="0.25">
      <c r="A5" s="24"/>
      <c r="B5" s="21"/>
      <c r="C5" s="24"/>
      <c r="D5" s="19"/>
      <c r="E5" s="27" t="str">
        <f>IF($B$9="Maand","Januari", "01-01-2023 - 29-01-2023")</f>
        <v>Januari</v>
      </c>
      <c r="F5" s="27" t="str">
        <f>IF($B$9="Maand","Februari", "30-01-2023 - 26-02-2023")</f>
        <v>Februari</v>
      </c>
      <c r="G5" s="27" t="str">
        <f>IF($B$9="Maand","Maart", "27-02-2023 - 26-03-2023")</f>
        <v>Maart</v>
      </c>
      <c r="H5" s="27" t="str">
        <f>IF($B$9="Maand","April", "27-03-2023 - 23-04-2023")</f>
        <v>April</v>
      </c>
      <c r="I5" s="27" t="str">
        <f>IF($B$9="Maand","Mei", "24-04-2023 - 21-05-2023")</f>
        <v>Mei</v>
      </c>
      <c r="J5" s="27" t="str">
        <f>IF($B$9="Maand","Juni", "22-05-2023 - 18-06-2023")</f>
        <v>Juni</v>
      </c>
      <c r="K5" s="27" t="str">
        <f>IF($B$9="Maand","Juli", "19-06-2023 - 16-07-2023")</f>
        <v>Juli</v>
      </c>
      <c r="L5" s="27" t="str">
        <f>IF($B$9="Maand","Augustus", "17-07-2023 - 13-08-2023")</f>
        <v>Augustus</v>
      </c>
      <c r="M5" s="27" t="str">
        <f>IF($B$9="Maand","September", "14-08-2023 - 10-09-2023")</f>
        <v>September</v>
      </c>
      <c r="N5" s="27" t="str">
        <f>IF($B$9="Maand","Oktober", "11-09-2023 - 08-10-2023")</f>
        <v>Oktober</v>
      </c>
      <c r="O5" s="27" t="str">
        <f>IF($B$9="Maand","November", "09-10-2023 - 05-11-2023")</f>
        <v>November</v>
      </c>
      <c r="P5" s="27" t="str">
        <f>IF($B$9="Maand","December", "06-11-2023 - 03-12-2023")</f>
        <v>December</v>
      </c>
      <c r="Q5" s="27" t="str">
        <f>IF($B$9="Maand","", "04-12-2023 - 31-12-2023")</f>
        <v/>
      </c>
      <c r="R5" s="24"/>
      <c r="S5" s="20" t="s">
        <v>4</v>
      </c>
      <c r="T5" s="24"/>
    </row>
    <row r="6" spans="1:20" x14ac:dyDescent="0.25">
      <c r="A6" s="25"/>
      <c r="B6" s="15" t="s">
        <v>9</v>
      </c>
      <c r="C6" s="25"/>
      <c r="D6" s="3" t="s">
        <v>26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25"/>
      <c r="S6" s="8">
        <f>IF((_xlfn.DAYS(B20,B18)/_xlfn.DAYS(DATE(YEAR(B20),12,31),DATE(YEAR(B18),1,1)))&lt;1,(SUM(E8:Q8)-SUM(E9:Q9)-SUM(E12:Q12))/(_xlfn.DAYS(B20,B18)/_xlfn.DAYS(DATE(YEAR(B20),12,31),DATE(YEAR(B18),1,1)))+SUM(E12:Q12),(SUM(E8:Q8)-SUM(E9:Q9))/(_xlfn.DAYS(B20,B18)/(_xlfn.DAYS(DATE(YEAR(B20),12,31),DATE(YEAR(B18),1,1)))))</f>
        <v>0</v>
      </c>
      <c r="T6" s="25"/>
    </row>
    <row r="7" spans="1:20" x14ac:dyDescent="0.25">
      <c r="A7" s="25"/>
      <c r="B7" s="15" t="s">
        <v>32</v>
      </c>
      <c r="C7" s="25"/>
      <c r="D7" s="3" t="s">
        <v>27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25"/>
      <c r="S7" s="8"/>
      <c r="T7" s="25"/>
    </row>
    <row r="8" spans="1:20" x14ac:dyDescent="0.25">
      <c r="A8" s="25"/>
      <c r="B8" s="15" t="s">
        <v>31</v>
      </c>
      <c r="C8" s="25"/>
      <c r="D8" s="3" t="s">
        <v>25</v>
      </c>
      <c r="E8" s="7">
        <f t="shared" ref="E8:Q8" si="2">E6+E7+E12+E9</f>
        <v>0</v>
      </c>
      <c r="F8" s="7">
        <f t="shared" si="2"/>
        <v>0</v>
      </c>
      <c r="G8" s="7">
        <f t="shared" si="2"/>
        <v>0</v>
      </c>
      <c r="H8" s="7">
        <f>H6+H7+H12+H9</f>
        <v>0</v>
      </c>
      <c r="I8" s="7">
        <f t="shared" si="2"/>
        <v>0</v>
      </c>
      <c r="J8" s="7">
        <f t="shared" si="2"/>
        <v>0</v>
      </c>
      <c r="K8" s="7">
        <f t="shared" si="2"/>
        <v>0</v>
      </c>
      <c r="L8" s="7">
        <f t="shared" si="2"/>
        <v>0</v>
      </c>
      <c r="M8" s="7">
        <f t="shared" si="2"/>
        <v>0</v>
      </c>
      <c r="N8" s="7">
        <f t="shared" si="2"/>
        <v>0</v>
      </c>
      <c r="O8" s="7">
        <f t="shared" si="2"/>
        <v>0</v>
      </c>
      <c r="P8" s="7">
        <f t="shared" si="2"/>
        <v>0</v>
      </c>
      <c r="Q8" s="7">
        <f t="shared" si="2"/>
        <v>0</v>
      </c>
      <c r="R8" s="25"/>
      <c r="S8" s="2"/>
      <c r="T8" s="25"/>
    </row>
    <row r="9" spans="1:20" x14ac:dyDescent="0.25">
      <c r="A9" s="25"/>
      <c r="B9" s="15" t="s">
        <v>7</v>
      </c>
      <c r="C9" s="25"/>
      <c r="D9" s="3" t="s">
        <v>28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25"/>
      <c r="S9" s="17" t="s">
        <v>14</v>
      </c>
      <c r="T9" s="25"/>
    </row>
    <row r="10" spans="1:20" x14ac:dyDescent="0.25">
      <c r="A10" s="25"/>
      <c r="B10" s="15"/>
      <c r="C10" s="25"/>
      <c r="D10" s="3" t="s">
        <v>29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25"/>
      <c r="S10" s="17"/>
      <c r="T10" s="25"/>
    </row>
    <row r="11" spans="1:20" x14ac:dyDescent="0.25">
      <c r="A11" s="25"/>
      <c r="B11" s="14" t="s">
        <v>20</v>
      </c>
      <c r="C11" s="25"/>
      <c r="D11" s="3" t="s">
        <v>30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25"/>
      <c r="S11" s="8">
        <f>SUM(E21:Q21)</f>
        <v>0</v>
      </c>
      <c r="T11" s="25"/>
    </row>
    <row r="12" spans="1:20" x14ac:dyDescent="0.25">
      <c r="A12" s="25"/>
      <c r="B12" s="28">
        <v>66956</v>
      </c>
      <c r="C12" s="25"/>
      <c r="D12" s="3" t="s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25"/>
      <c r="S12" s="17" t="s">
        <v>5</v>
      </c>
      <c r="T12" s="25"/>
    </row>
    <row r="13" spans="1:20" x14ac:dyDescent="0.25">
      <c r="A13" s="25"/>
      <c r="B13" s="14" t="s">
        <v>18</v>
      </c>
      <c r="C13" s="25"/>
      <c r="D13" s="3" t="s">
        <v>24</v>
      </c>
      <c r="E13" s="7">
        <f>ROUND(IF($B$7="Opbouw vakantiegeld",0.08*(E8-E9-E14-E16), 0),2)</f>
        <v>0</v>
      </c>
      <c r="F13" s="7">
        <f t="shared" ref="F13:Q13" si="3">ROUND(IF($B$7="Opbouw vakantiegeld",0.08*(F8-F9-F10-F11-F14-F16), 0),2)</f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0</v>
      </c>
      <c r="P13" s="7">
        <f t="shared" si="3"/>
        <v>0</v>
      </c>
      <c r="Q13" s="7">
        <f t="shared" si="3"/>
        <v>0</v>
      </c>
      <c r="R13" s="25"/>
      <c r="S13" s="8">
        <f>B14*S6</f>
        <v>0</v>
      </c>
      <c r="T13" s="25"/>
    </row>
    <row r="14" spans="1:20" x14ac:dyDescent="0.25">
      <c r="A14" s="25"/>
      <c r="B14" s="31">
        <v>6.43E-3</v>
      </c>
      <c r="C14" s="25"/>
      <c r="D14" s="3" t="s">
        <v>23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25"/>
      <c r="S14" s="17" t="s">
        <v>16</v>
      </c>
      <c r="T14" s="25"/>
    </row>
    <row r="15" spans="1:20" x14ac:dyDescent="0.25">
      <c r="A15" s="25"/>
      <c r="B15" s="14" t="s">
        <v>19</v>
      </c>
      <c r="C15" s="25"/>
      <c r="D15" s="3" t="s">
        <v>21</v>
      </c>
      <c r="E15" s="7">
        <f>ROUND(IF($B$8="Opbouw 13e maand",0.083333*(E8-E14-E16),0),2)</f>
        <v>0</v>
      </c>
      <c r="F15" s="7">
        <f t="shared" ref="F15:Q15" si="4">ROUND(IF($B$8="Opbouw 13e maand",0.083333*(F8-F14-F16),0),2)</f>
        <v>0</v>
      </c>
      <c r="G15" s="7">
        <f t="shared" si="4"/>
        <v>0</v>
      </c>
      <c r="H15" s="7">
        <f t="shared" si="4"/>
        <v>0</v>
      </c>
      <c r="I15" s="7">
        <f t="shared" si="4"/>
        <v>0</v>
      </c>
      <c r="J15" s="7">
        <f t="shared" si="4"/>
        <v>0</v>
      </c>
      <c r="K15" s="7">
        <f t="shared" si="4"/>
        <v>0</v>
      </c>
      <c r="L15" s="7">
        <f t="shared" si="4"/>
        <v>0</v>
      </c>
      <c r="M15" s="7">
        <f t="shared" si="4"/>
        <v>0</v>
      </c>
      <c r="N15" s="7">
        <f t="shared" si="4"/>
        <v>0</v>
      </c>
      <c r="O15" s="7">
        <f t="shared" si="4"/>
        <v>0</v>
      </c>
      <c r="P15" s="7">
        <f t="shared" si="4"/>
        <v>0</v>
      </c>
      <c r="Q15" s="7">
        <f t="shared" si="4"/>
        <v>0</v>
      </c>
      <c r="R15" s="25"/>
      <c r="S15" s="8">
        <f>S11-S13</f>
        <v>0</v>
      </c>
      <c r="T15" s="25"/>
    </row>
    <row r="16" spans="1:20" x14ac:dyDescent="0.25">
      <c r="A16" s="25"/>
      <c r="B16" s="32">
        <v>3.0800000000000001E-2</v>
      </c>
      <c r="C16" s="25"/>
      <c r="D16" s="3" t="s">
        <v>22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25"/>
      <c r="S16" s="2"/>
      <c r="T16" s="25"/>
    </row>
    <row r="17" spans="1:20" x14ac:dyDescent="0.25">
      <c r="A17" s="25"/>
      <c r="B17" s="14" t="s">
        <v>12</v>
      </c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5"/>
      <c r="S17" s="17" t="s">
        <v>15</v>
      </c>
      <c r="T17" s="25"/>
    </row>
    <row r="18" spans="1:20" x14ac:dyDescent="0.25">
      <c r="A18" s="25"/>
      <c r="B18" s="16">
        <v>44927</v>
      </c>
      <c r="C18" s="25"/>
      <c r="D18" s="4" t="s">
        <v>8</v>
      </c>
      <c r="E18" s="36">
        <f>IF($B$9="Maand",12,13.05)*IF($B$7="Opbouw vakantiegeld",1.08,1)+IF($B$8="Opbouw 13e maand",1,0)</f>
        <v>12.96</v>
      </c>
      <c r="F18" s="36">
        <f t="shared" ref="F18:Q18" si="5">IF($B$9="Maand",12,13.05)*IF($B$7="Opbouw vakantiegeld",1.08,1)+IF($B$8="Opbouw 13e maand",1,0)</f>
        <v>12.96</v>
      </c>
      <c r="G18" s="36">
        <f t="shared" si="5"/>
        <v>12.96</v>
      </c>
      <c r="H18" s="36">
        <f t="shared" si="5"/>
        <v>12.96</v>
      </c>
      <c r="I18" s="36">
        <f t="shared" si="5"/>
        <v>12.96</v>
      </c>
      <c r="J18" s="36">
        <f t="shared" si="5"/>
        <v>12.96</v>
      </c>
      <c r="K18" s="36">
        <f t="shared" si="5"/>
        <v>12.96</v>
      </c>
      <c r="L18" s="36">
        <f t="shared" si="5"/>
        <v>12.96</v>
      </c>
      <c r="M18" s="36">
        <f t="shared" si="5"/>
        <v>12.96</v>
      </c>
      <c r="N18" s="36">
        <f t="shared" si="5"/>
        <v>12.96</v>
      </c>
      <c r="O18" s="36">
        <f t="shared" si="5"/>
        <v>12.96</v>
      </c>
      <c r="P18" s="36">
        <f t="shared" si="5"/>
        <v>12.96</v>
      </c>
      <c r="Q18" s="36">
        <f t="shared" si="5"/>
        <v>12.96</v>
      </c>
      <c r="R18" s="25"/>
      <c r="S18" s="8">
        <f>SUM(E22:Q22)</f>
        <v>0</v>
      </c>
      <c r="T18" s="25"/>
    </row>
    <row r="19" spans="1:20" x14ac:dyDescent="0.25">
      <c r="A19" s="25"/>
      <c r="B19" s="14" t="s">
        <v>13</v>
      </c>
      <c r="C19" s="25"/>
      <c r="D19" s="4" t="s">
        <v>10</v>
      </c>
      <c r="E19" s="10">
        <f t="shared" ref="E19:Q19" si="6">IF($B$9="Maand",MAX(DAYS360(MAX(E1,$B$18),E2+1),0),MAX(DAYS360(MAX(E3,$B$18),E4+1),0))</f>
        <v>30</v>
      </c>
      <c r="F19" s="10">
        <f t="shared" si="6"/>
        <v>30</v>
      </c>
      <c r="G19" s="10">
        <f t="shared" si="6"/>
        <v>30</v>
      </c>
      <c r="H19" s="10">
        <f t="shared" si="6"/>
        <v>30</v>
      </c>
      <c r="I19" s="10">
        <f t="shared" si="6"/>
        <v>30</v>
      </c>
      <c r="J19" s="10">
        <f t="shared" si="6"/>
        <v>30</v>
      </c>
      <c r="K19" s="10">
        <f t="shared" si="6"/>
        <v>30</v>
      </c>
      <c r="L19" s="10">
        <f t="shared" si="6"/>
        <v>30</v>
      </c>
      <c r="M19" s="10">
        <f t="shared" si="6"/>
        <v>30</v>
      </c>
      <c r="N19" s="10">
        <f t="shared" si="6"/>
        <v>30</v>
      </c>
      <c r="O19" s="10">
        <f t="shared" si="6"/>
        <v>30</v>
      </c>
      <c r="P19" s="10">
        <f t="shared" si="6"/>
        <v>30</v>
      </c>
      <c r="Q19" s="10">
        <f t="shared" si="6"/>
        <v>0</v>
      </c>
      <c r="R19" s="25"/>
      <c r="S19" s="17" t="s">
        <v>17</v>
      </c>
      <c r="T19" s="25"/>
    </row>
    <row r="20" spans="1:20" x14ac:dyDescent="0.25">
      <c r="A20" s="25"/>
      <c r="B20" s="16">
        <v>45291</v>
      </c>
      <c r="C20" s="25"/>
      <c r="D20" s="4" t="s">
        <v>1</v>
      </c>
      <c r="E20" s="11">
        <f>IF($B$6="Contractant",(E6*E18)+E11+E10,(E7*E18)+E11)</f>
        <v>0</v>
      </c>
      <c r="F20" s="11">
        <f t="shared" ref="F20:Q20" si="7">IF($B$6="Contractant",(F6*F18)+F11+F10,(F7*F18)+F11)</f>
        <v>0</v>
      </c>
      <c r="G20" s="11">
        <f t="shared" si="7"/>
        <v>0</v>
      </c>
      <c r="H20" s="11">
        <f t="shared" si="7"/>
        <v>0</v>
      </c>
      <c r="I20" s="11">
        <f t="shared" si="7"/>
        <v>0</v>
      </c>
      <c r="J20" s="11">
        <f t="shared" si="7"/>
        <v>0</v>
      </c>
      <c r="K20" s="11">
        <f t="shared" si="7"/>
        <v>0</v>
      </c>
      <c r="L20" s="11">
        <f t="shared" si="7"/>
        <v>0</v>
      </c>
      <c r="M20" s="11">
        <f t="shared" si="7"/>
        <v>0</v>
      </c>
      <c r="N20" s="11">
        <f t="shared" si="7"/>
        <v>0</v>
      </c>
      <c r="O20" s="11">
        <f t="shared" si="7"/>
        <v>0</v>
      </c>
      <c r="P20" s="11">
        <f t="shared" si="7"/>
        <v>0</v>
      </c>
      <c r="Q20" s="11">
        <f t="shared" si="7"/>
        <v>0</v>
      </c>
      <c r="R20" s="25"/>
      <c r="S20" s="9">
        <f>B16*(MAX(S6,66956)-66956)</f>
        <v>0</v>
      </c>
      <c r="T20" s="25"/>
    </row>
    <row r="21" spans="1:20" x14ac:dyDescent="0.25">
      <c r="A21" s="25"/>
      <c r="B21" s="13"/>
      <c r="C21" s="25"/>
      <c r="D21" s="4" t="s">
        <v>2</v>
      </c>
      <c r="E21" s="11">
        <f>((E20*$B$14)/360)*E19</f>
        <v>0</v>
      </c>
      <c r="F21" s="11">
        <f t="shared" ref="F21:Q21" si="8">((F20*$B$14)/360)*F19</f>
        <v>0</v>
      </c>
      <c r="G21" s="11">
        <f t="shared" si="8"/>
        <v>0</v>
      </c>
      <c r="H21" s="11">
        <f t="shared" si="8"/>
        <v>0</v>
      </c>
      <c r="I21" s="11">
        <f t="shared" si="8"/>
        <v>0</v>
      </c>
      <c r="J21" s="11">
        <f t="shared" si="8"/>
        <v>0</v>
      </c>
      <c r="K21" s="11">
        <f t="shared" si="8"/>
        <v>0</v>
      </c>
      <c r="L21" s="11">
        <f t="shared" si="8"/>
        <v>0</v>
      </c>
      <c r="M21" s="11">
        <f t="shared" si="8"/>
        <v>0</v>
      </c>
      <c r="N21" s="11">
        <f t="shared" si="8"/>
        <v>0</v>
      </c>
      <c r="O21" s="11">
        <f t="shared" si="8"/>
        <v>0</v>
      </c>
      <c r="P21" s="11">
        <f t="shared" si="8"/>
        <v>0</v>
      </c>
      <c r="Q21" s="11">
        <f t="shared" si="8"/>
        <v>0</v>
      </c>
      <c r="R21" s="25"/>
      <c r="S21" s="17" t="s">
        <v>16</v>
      </c>
      <c r="T21" s="25"/>
    </row>
    <row r="22" spans="1:20" x14ac:dyDescent="0.25">
      <c r="A22" s="25"/>
      <c r="B22" s="12"/>
      <c r="C22" s="25"/>
      <c r="D22" s="4" t="s">
        <v>3</v>
      </c>
      <c r="E22" s="11">
        <f>((MAX(E20,$B$12)-$B$12)*$B$16)/360*E19</f>
        <v>0</v>
      </c>
      <c r="F22" s="11">
        <f t="shared" ref="F22:Q22" si="9">((MAX(F20,$B$12)-$B$12)*$B$16)/360*F19</f>
        <v>0</v>
      </c>
      <c r="G22" s="11">
        <f t="shared" si="9"/>
        <v>0</v>
      </c>
      <c r="H22" s="11">
        <f t="shared" si="9"/>
        <v>0</v>
      </c>
      <c r="I22" s="11">
        <f t="shared" si="9"/>
        <v>0</v>
      </c>
      <c r="J22" s="11">
        <f t="shared" si="9"/>
        <v>0</v>
      </c>
      <c r="K22" s="11">
        <f t="shared" si="9"/>
        <v>0</v>
      </c>
      <c r="L22" s="11">
        <f t="shared" si="9"/>
        <v>0</v>
      </c>
      <c r="M22" s="11">
        <f t="shared" si="9"/>
        <v>0</v>
      </c>
      <c r="N22" s="11">
        <f t="shared" si="9"/>
        <v>0</v>
      </c>
      <c r="O22" s="11">
        <f t="shared" si="9"/>
        <v>0</v>
      </c>
      <c r="P22" s="11">
        <f t="shared" si="9"/>
        <v>0</v>
      </c>
      <c r="Q22" s="11">
        <f t="shared" si="9"/>
        <v>0</v>
      </c>
      <c r="R22" s="25"/>
      <c r="S22" s="8">
        <f>S18-S20</f>
        <v>0</v>
      </c>
      <c r="T22" s="25"/>
    </row>
    <row r="23" spans="1:20" s="25" customFormat="1" x14ac:dyDescent="0.25"/>
    <row r="24" spans="1:20" x14ac:dyDescent="0.25">
      <c r="F24" s="6"/>
    </row>
    <row r="25" spans="1:20" x14ac:dyDescent="0.25">
      <c r="F25" s="6"/>
    </row>
    <row r="26" spans="1:20" x14ac:dyDescent="0.25">
      <c r="F26" s="6"/>
    </row>
    <row r="27" spans="1:20" x14ac:dyDescent="0.25">
      <c r="F27" s="6"/>
    </row>
    <row r="28" spans="1:20" x14ac:dyDescent="0.25">
      <c r="D28" s="5"/>
    </row>
    <row r="29" spans="1:20" x14ac:dyDescent="0.25">
      <c r="D29" s="1"/>
    </row>
  </sheetData>
  <dataValidations count="4">
    <dataValidation type="list" allowBlank="1" showInputMessage="1" showErrorMessage="1" sqref="B9:B10" xr:uid="{A801F434-02F4-B448-B1AC-2CA122ECD4D5}">
      <formula1>"Maand,4 weken"</formula1>
    </dataValidation>
    <dataValidation type="list" allowBlank="1" showInputMessage="1" showErrorMessage="1" sqref="B8" xr:uid="{B619F22A-753C-F647-B235-2E5C2F16FDE0}">
      <formula1>"Opbouw 13e maand, Geen 13e maand"</formula1>
    </dataValidation>
    <dataValidation type="list" allowBlank="1" showInputMessage="1" showErrorMessage="1" sqref="B7" xr:uid="{F2BD3823-8195-F84A-977B-E64FCB1D90B1}">
      <formula1>"Opbouw vakantiegeld,Geen vakantiegeld,Betaling vakantiegeld maandelijks"</formula1>
    </dataValidation>
    <dataValidation type="list" allowBlank="1" showInputMessage="1" showErrorMessage="1" sqref="B6" xr:uid="{D4CC2001-6AA3-024C-AA61-8939FAB3269C}">
      <formula1>"Oproepkracht,Contractant"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Van oosten</dc:creator>
  <cp:lastModifiedBy>Laura Gorissen</cp:lastModifiedBy>
  <dcterms:created xsi:type="dcterms:W3CDTF">2023-01-30T09:43:06Z</dcterms:created>
  <dcterms:modified xsi:type="dcterms:W3CDTF">2026-02-12T08:27:13Z</dcterms:modified>
</cp:coreProperties>
</file>