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etecnl-my.sharepoint.com/personal/l_driessen_cometec_nl/Documents/CoMetec/LAK/"/>
    </mc:Choice>
  </mc:AlternateContent>
  <xr:revisionPtr revIDLastSave="0" documentId="8_{83C5F514-C4B2-4092-A3A4-AE6B5B13B367}" xr6:coauthVersionLast="47" xr6:coauthVersionMax="47" xr10:uidLastSave="{00000000-0000-0000-0000-000000000000}"/>
  <bookViews>
    <workbookView xWindow="-120" yWindow="-120" windowWidth="29040" windowHeight="15840" xr2:uid="{90702ACC-FCE8-9D40-861E-FA24B919AF7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P20" i="1"/>
  <c r="F19" i="1"/>
  <c r="F21" i="1" s="1"/>
  <c r="G19" i="1"/>
  <c r="H19" i="1"/>
  <c r="I19" i="1"/>
  <c r="J19" i="1"/>
  <c r="K19" i="1"/>
  <c r="L19" i="1"/>
  <c r="M19" i="1"/>
  <c r="N19" i="1"/>
  <c r="O19" i="1"/>
  <c r="P19" i="1"/>
  <c r="Q19" i="1"/>
  <c r="E19" i="1"/>
  <c r="E21" i="1" s="1"/>
  <c r="E8" i="1"/>
  <c r="E12" i="1" s="1"/>
  <c r="H8" i="1"/>
  <c r="H12" i="1" s="1"/>
  <c r="E14" i="1" l="1"/>
  <c r="H14" i="1"/>
  <c r="F8" i="1"/>
  <c r="G8" i="1"/>
  <c r="I8" i="1"/>
  <c r="J8" i="1"/>
  <c r="K8" i="1"/>
  <c r="K12" i="1" s="1"/>
  <c r="L8" i="1"/>
  <c r="M8" i="1"/>
  <c r="N8" i="1"/>
  <c r="O8" i="1"/>
  <c r="P8" i="1"/>
  <c r="Q8" i="1"/>
  <c r="Q12" i="1" l="1"/>
  <c r="Q14" i="1"/>
  <c r="S6" i="1"/>
  <c r="O12" i="1"/>
  <c r="O14" i="1"/>
  <c r="K14" i="1"/>
  <c r="J14" i="1"/>
  <c r="J12" i="1"/>
  <c r="L12" i="1"/>
  <c r="L14" i="1"/>
  <c r="I14" i="1"/>
  <c r="I12" i="1"/>
  <c r="P12" i="1"/>
  <c r="P14" i="1"/>
  <c r="M12" i="1"/>
  <c r="M14" i="1"/>
  <c r="G14" i="1"/>
  <c r="G12" i="1"/>
  <c r="N12" i="1"/>
  <c r="N14" i="1"/>
  <c r="F12" i="1"/>
  <c r="F14" i="1"/>
  <c r="E5" i="1"/>
  <c r="E20" i="1"/>
  <c r="F20" i="1"/>
  <c r="F23" i="1" s="1"/>
  <c r="G20" i="1"/>
  <c r="H20" i="1"/>
  <c r="I20" i="1"/>
  <c r="J20" i="1"/>
  <c r="K20" i="1"/>
  <c r="L20" i="1"/>
  <c r="M20" i="1"/>
  <c r="N20" i="1"/>
  <c r="O20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H3" i="1"/>
  <c r="I3" i="1" s="1"/>
  <c r="J3" i="1" s="1"/>
  <c r="K3" i="1" s="1"/>
  <c r="L3" i="1" s="1"/>
  <c r="M3" i="1" s="1"/>
  <c r="N3" i="1" s="1"/>
  <c r="O3" i="1" s="1"/>
  <c r="P3" i="1" s="1"/>
  <c r="Q3" i="1" s="1"/>
  <c r="H21" i="1"/>
  <c r="Q21" i="1"/>
  <c r="Q23" i="1" s="1"/>
  <c r="Q5" i="1"/>
  <c r="P5" i="1"/>
  <c r="O5" i="1"/>
  <c r="N5" i="1"/>
  <c r="M5" i="1"/>
  <c r="L5" i="1"/>
  <c r="K5" i="1"/>
  <c r="J5" i="1"/>
  <c r="I5" i="1"/>
  <c r="H5" i="1"/>
  <c r="G5" i="1"/>
  <c r="F5" i="1"/>
  <c r="H23" i="1" l="1"/>
  <c r="Q22" i="1"/>
  <c r="H22" i="1"/>
  <c r="F22" i="1"/>
  <c r="K21" i="1"/>
  <c r="K23" i="1" s="1"/>
  <c r="N21" i="1"/>
  <c r="N23" i="1" s="1"/>
  <c r="P21" i="1"/>
  <c r="P23" i="1" s="1"/>
  <c r="O21" i="1"/>
  <c r="O23" i="1" s="1"/>
  <c r="I21" i="1"/>
  <c r="I23" i="1" s="1"/>
  <c r="M21" i="1"/>
  <c r="M23" i="1" s="1"/>
  <c r="L21" i="1"/>
  <c r="L23" i="1" s="1"/>
  <c r="J21" i="1"/>
  <c r="J23" i="1" s="1"/>
  <c r="G21" i="1"/>
  <c r="G23" i="1" s="1"/>
  <c r="E23" i="1"/>
  <c r="S19" i="1" l="1"/>
  <c r="S13" i="1"/>
  <c r="S21" i="1"/>
  <c r="E22" i="1"/>
  <c r="P22" i="1"/>
  <c r="O22" i="1"/>
  <c r="N22" i="1"/>
  <c r="M22" i="1"/>
  <c r="L22" i="1"/>
  <c r="K22" i="1"/>
  <c r="J22" i="1"/>
  <c r="I22" i="1"/>
  <c r="G22" i="1"/>
  <c r="S23" i="1" l="1"/>
  <c r="S11" i="1"/>
  <c r="S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Driessen</author>
  </authors>
  <commentList>
    <comment ref="D10" authorId="0" shapeId="0" xr:uid="{1DABF79C-C92C-479B-A55D-2DAE13595AEA}">
      <text>
        <r>
          <rPr>
            <b/>
            <sz val="9"/>
            <color indexed="81"/>
            <rFont val="Tahoma"/>
            <family val="2"/>
          </rPr>
          <t>Lars Driessen:</t>
        </r>
        <r>
          <rPr>
            <sz val="9"/>
            <color indexed="81"/>
            <rFont val="Tahoma"/>
            <family val="2"/>
          </rPr>
          <t xml:space="preserve">
De som van bijzondere beloningen voorgaand jaar excl. vakantiegeld en 13e maand</t>
        </r>
      </text>
    </comment>
  </commentList>
</comments>
</file>

<file path=xl/sharedStrings.xml><?xml version="1.0" encoding="utf-8"?>
<sst xmlns="http://schemas.openxmlformats.org/spreadsheetml/2006/main" count="37" uniqueCount="32">
  <si>
    <t>Contractloon</t>
  </si>
  <si>
    <t xml:space="preserve">Loon in geld </t>
  </si>
  <si>
    <t>Overwerk</t>
  </si>
  <si>
    <t>Bijzondere beloning</t>
  </si>
  <si>
    <t>Opbouw vakantiegeld</t>
  </si>
  <si>
    <t xml:space="preserve">Vakantiegeld </t>
  </si>
  <si>
    <t>Opbouw arbeidsvoorwaardenbedrag</t>
  </si>
  <si>
    <t>Arbeidsvoorwaardenbedrag</t>
  </si>
  <si>
    <t xml:space="preserve">Geschat jaarloon </t>
  </si>
  <si>
    <t>Premie WIA</t>
  </si>
  <si>
    <t>Premie WEX</t>
  </si>
  <si>
    <t xml:space="preserve">Definitief jaarloon </t>
  </si>
  <si>
    <t>Premie WIA definitief</t>
  </si>
  <si>
    <t xml:space="preserve">Voorschot bijzondere beloning </t>
  </si>
  <si>
    <t>Periode loon</t>
  </si>
  <si>
    <t>Oproepkracht</t>
  </si>
  <si>
    <t>Maand</t>
  </si>
  <si>
    <t xml:space="preserve">Factor </t>
  </si>
  <si>
    <t>Contractant</t>
  </si>
  <si>
    <t>Premiedagen</t>
  </si>
  <si>
    <t xml:space="preserve">Oproepkracht </t>
  </si>
  <si>
    <t>Opbouw 13e maand</t>
  </si>
  <si>
    <t>13e maand</t>
  </si>
  <si>
    <t>Start periode</t>
  </si>
  <si>
    <t>Eind periode</t>
  </si>
  <si>
    <t>Premie WIA geschat</t>
  </si>
  <si>
    <t>Premie WEX geschat</t>
  </si>
  <si>
    <t>Verschil</t>
  </si>
  <si>
    <t>Premie WEX definitief</t>
  </si>
  <si>
    <t xml:space="preserve">WIA premie </t>
  </si>
  <si>
    <t>WEX premie</t>
  </si>
  <si>
    <t>Max SV-loon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</si>
</sst>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_ [$€-413]\ * #,##0.00_ ;_ [$€-413]\ * \-#,##0.00_ ;_ [$€-413]\ * &quot;-&quot;??_ ;_ @_ "/>
    <numFmt numFmtId="166" formatCode="0.0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12"/>
      <color rgb="FFFEA9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FEA90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Font="1"/>
    <xf numFmtId="0" fontId="0" fillId="4" borderId="0" xfId="0" applyFill="1"/>
    <xf numFmtId="0" fontId="2" fillId="3" borderId="0" xfId="0" applyFont="1" applyFill="1"/>
    <xf numFmtId="0" fontId="3" fillId="2" borderId="0" xfId="0" applyFont="1" applyFill="1"/>
    <xf numFmtId="165" fontId="0" fillId="0" borderId="0" xfId="0" applyNumberFormat="1"/>
    <xf numFmtId="14" fontId="0" fillId="0" borderId="0" xfId="0" applyNumberFormat="1"/>
    <xf numFmtId="0" fontId="4" fillId="0" borderId="0" xfId="0" applyFont="1"/>
    <xf numFmtId="44" fontId="0" fillId="3" borderId="0" xfId="0" applyNumberFormat="1" applyFill="1"/>
    <xf numFmtId="44" fontId="0" fillId="5" borderId="0" xfId="0" applyNumberFormat="1" applyFill="1"/>
    <xf numFmtId="165" fontId="0" fillId="4" borderId="0" xfId="0" applyNumberFormat="1" applyFill="1"/>
    <xf numFmtId="164" fontId="0" fillId="4" borderId="0" xfId="1" applyFont="1" applyFill="1" applyBorder="1"/>
    <xf numFmtId="166" fontId="0" fillId="9" borderId="0" xfId="0" applyNumberFormat="1" applyFill="1"/>
    <xf numFmtId="1" fontId="0" fillId="9" borderId="0" xfId="0" applyNumberFormat="1" applyFill="1"/>
    <xf numFmtId="165" fontId="0" fillId="9" borderId="0" xfId="0" applyNumberFormat="1" applyFill="1"/>
    <xf numFmtId="0" fontId="5" fillId="6" borderId="0" xfId="0" applyFont="1" applyFill="1"/>
    <xf numFmtId="14" fontId="5" fillId="6" borderId="0" xfId="0" applyNumberFormat="1" applyFont="1" applyFill="1"/>
    <xf numFmtId="0" fontId="7" fillId="7" borderId="0" xfId="0" applyFont="1" applyFill="1"/>
    <xf numFmtId="0" fontId="7" fillId="6" borderId="0" xfId="0" applyFont="1" applyFill="1"/>
    <xf numFmtId="0" fontId="8" fillId="6" borderId="0" xfId="0" applyFont="1" applyFill="1"/>
    <xf numFmtId="14" fontId="8" fillId="6" borderId="0" xfId="0" applyNumberFormat="1" applyFont="1" applyFill="1"/>
    <xf numFmtId="0" fontId="6" fillId="8" borderId="0" xfId="0" applyFont="1" applyFill="1"/>
    <xf numFmtId="0" fontId="0" fillId="0" borderId="0" xfId="0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10" borderId="0" xfId="0" applyFont="1" applyFill="1"/>
    <xf numFmtId="14" fontId="4" fillId="10" borderId="0" xfId="0" applyNumberFormat="1" applyFont="1" applyFill="1"/>
    <xf numFmtId="0" fontId="4" fillId="11" borderId="0" xfId="0" applyFont="1" applyFill="1"/>
    <xf numFmtId="0" fontId="0" fillId="11" borderId="0" xfId="0" applyFill="1" applyAlignment="1">
      <alignment vertical="center" wrapText="1"/>
    </xf>
    <xf numFmtId="0" fontId="0" fillId="11" borderId="0" xfId="0" applyFill="1"/>
    <xf numFmtId="0" fontId="2" fillId="11" borderId="0" xfId="0" applyFont="1" applyFill="1"/>
    <xf numFmtId="165" fontId="0" fillId="11" borderId="0" xfId="0" applyNumberFormat="1" applyFill="1"/>
    <xf numFmtId="44" fontId="0" fillId="11" borderId="0" xfId="0" applyNumberFormat="1" applyFill="1"/>
    <xf numFmtId="0" fontId="2" fillId="3" borderId="0" xfId="0" applyFont="1" applyFill="1" applyAlignment="1">
      <alignment horizontal="left" vertical="center" wrapText="1"/>
    </xf>
    <xf numFmtId="164" fontId="8" fillId="6" borderId="0" xfId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EA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3669-2954-B24F-BEC3-90E9A27CDA83}">
  <dimension ref="A1:T28"/>
  <sheetViews>
    <sheetView tabSelected="1" zoomScale="80" zoomScaleNormal="80" workbookViewId="0">
      <selection activeCell="Q31" sqref="Q31"/>
    </sheetView>
  </sheetViews>
  <sheetFormatPr defaultColWidth="11" defaultRowHeight="15.75" x14ac:dyDescent="0.25"/>
  <cols>
    <col min="1" max="1" width="2" style="30" customWidth="1"/>
    <col min="2" max="2" width="20" bestFit="1" customWidth="1"/>
    <col min="3" max="3" width="2.625" customWidth="1"/>
    <col min="4" max="4" width="33.125" bestFit="1" customWidth="1"/>
    <col min="5" max="16" width="12.125" bestFit="1" customWidth="1"/>
    <col min="17" max="17" width="11.375" bestFit="1" customWidth="1"/>
    <col min="18" max="18" width="2.625" customWidth="1"/>
    <col min="19" max="19" width="19.875" bestFit="1" customWidth="1"/>
    <col min="20" max="20" width="11" style="30"/>
  </cols>
  <sheetData>
    <row r="1" spans="1:20" s="7" customFormat="1" x14ac:dyDescent="0.25">
      <c r="A1" s="28"/>
      <c r="B1" s="28"/>
      <c r="C1" s="28"/>
      <c r="D1" s="26" t="s">
        <v>18</v>
      </c>
      <c r="E1" s="27">
        <v>44927</v>
      </c>
      <c r="F1" s="27">
        <v>44958</v>
      </c>
      <c r="G1" s="27">
        <v>44986</v>
      </c>
      <c r="H1" s="27">
        <v>45017</v>
      </c>
      <c r="I1" s="27">
        <v>45047</v>
      </c>
      <c r="J1" s="27">
        <v>45078</v>
      </c>
      <c r="K1" s="27">
        <v>45108</v>
      </c>
      <c r="L1" s="27">
        <v>45139</v>
      </c>
      <c r="M1" s="27">
        <v>45170</v>
      </c>
      <c r="N1" s="27">
        <v>45200</v>
      </c>
      <c r="O1" s="27">
        <v>45231</v>
      </c>
      <c r="P1" s="27">
        <v>45261</v>
      </c>
      <c r="Q1" s="27"/>
      <c r="R1" s="28"/>
      <c r="S1" s="28"/>
      <c r="T1" s="28"/>
    </row>
    <row r="2" spans="1:20" s="7" customFormat="1" x14ac:dyDescent="0.25">
      <c r="A2" s="28"/>
      <c r="B2" s="28"/>
      <c r="C2" s="28"/>
      <c r="D2" s="26" t="s">
        <v>18</v>
      </c>
      <c r="E2" s="27">
        <v>44957</v>
      </c>
      <c r="F2" s="27">
        <v>44985</v>
      </c>
      <c r="G2" s="27">
        <v>45016</v>
      </c>
      <c r="H2" s="27">
        <v>45046</v>
      </c>
      <c r="I2" s="27">
        <v>45077</v>
      </c>
      <c r="J2" s="27">
        <v>45107</v>
      </c>
      <c r="K2" s="27">
        <v>45138</v>
      </c>
      <c r="L2" s="27">
        <v>45169</v>
      </c>
      <c r="M2" s="27">
        <v>45199</v>
      </c>
      <c r="N2" s="27">
        <v>45230</v>
      </c>
      <c r="O2" s="27">
        <v>45260</v>
      </c>
      <c r="P2" s="27">
        <v>45291</v>
      </c>
      <c r="Q2" s="27"/>
      <c r="R2" s="28"/>
      <c r="S2" s="28"/>
      <c r="T2" s="28"/>
    </row>
    <row r="3" spans="1:20" s="7" customFormat="1" x14ac:dyDescent="0.25">
      <c r="A3" s="28"/>
      <c r="B3" s="28"/>
      <c r="C3" s="28"/>
      <c r="D3" s="26" t="s">
        <v>15</v>
      </c>
      <c r="E3" s="27">
        <v>44927</v>
      </c>
      <c r="F3" s="27">
        <v>44956</v>
      </c>
      <c r="G3" s="27">
        <v>44984</v>
      </c>
      <c r="H3" s="27">
        <f>G3+28</f>
        <v>45012</v>
      </c>
      <c r="I3" s="27">
        <f t="shared" ref="I3:Q3" si="0">H3+28</f>
        <v>45040</v>
      </c>
      <c r="J3" s="27">
        <f t="shared" si="0"/>
        <v>45068</v>
      </c>
      <c r="K3" s="27">
        <f t="shared" si="0"/>
        <v>45096</v>
      </c>
      <c r="L3" s="27">
        <f t="shared" si="0"/>
        <v>45124</v>
      </c>
      <c r="M3" s="27">
        <f t="shared" si="0"/>
        <v>45152</v>
      </c>
      <c r="N3" s="27">
        <f t="shared" si="0"/>
        <v>45180</v>
      </c>
      <c r="O3" s="27">
        <f t="shared" si="0"/>
        <v>45208</v>
      </c>
      <c r="P3" s="27">
        <f t="shared" si="0"/>
        <v>45236</v>
      </c>
      <c r="Q3" s="27">
        <f t="shared" si="0"/>
        <v>45264</v>
      </c>
      <c r="R3" s="28"/>
      <c r="S3" s="28"/>
      <c r="T3" s="28"/>
    </row>
    <row r="4" spans="1:20" s="7" customFormat="1" x14ac:dyDescent="0.25">
      <c r="A4" s="28"/>
      <c r="B4" s="28"/>
      <c r="C4" s="28"/>
      <c r="D4" s="26" t="s">
        <v>20</v>
      </c>
      <c r="E4" s="27">
        <v>44955</v>
      </c>
      <c r="F4" s="27">
        <f>E4+28</f>
        <v>44983</v>
      </c>
      <c r="G4" s="27">
        <f t="shared" ref="G4:Q4" si="1">F4+28</f>
        <v>45011</v>
      </c>
      <c r="H4" s="27">
        <f t="shared" si="1"/>
        <v>45039</v>
      </c>
      <c r="I4" s="27">
        <f t="shared" si="1"/>
        <v>45067</v>
      </c>
      <c r="J4" s="27">
        <f t="shared" si="1"/>
        <v>45095</v>
      </c>
      <c r="K4" s="27">
        <f t="shared" si="1"/>
        <v>45123</v>
      </c>
      <c r="L4" s="27">
        <f t="shared" si="1"/>
        <v>45151</v>
      </c>
      <c r="M4" s="27">
        <f t="shared" si="1"/>
        <v>45179</v>
      </c>
      <c r="N4" s="27">
        <f t="shared" si="1"/>
        <v>45207</v>
      </c>
      <c r="O4" s="27">
        <f t="shared" si="1"/>
        <v>45235</v>
      </c>
      <c r="P4" s="27">
        <f t="shared" si="1"/>
        <v>45263</v>
      </c>
      <c r="Q4" s="27">
        <f t="shared" si="1"/>
        <v>45291</v>
      </c>
      <c r="R4" s="28"/>
      <c r="S4" s="28"/>
      <c r="T4" s="28"/>
    </row>
    <row r="5" spans="1:20" s="22" customFormat="1" ht="34.5" customHeight="1" x14ac:dyDescent="0.25">
      <c r="A5" s="29"/>
      <c r="B5" s="25"/>
      <c r="C5" s="29"/>
      <c r="D5" s="23"/>
      <c r="E5" s="34" t="str">
        <f>IF($B$9="Maand","Januari", "01-01-2023 - 29-01-2023")</f>
        <v>Januari</v>
      </c>
      <c r="F5" s="34" t="str">
        <f>IF($B$9="Maand","Februari", "30-01-2023 - 26-02-2023")</f>
        <v>Februari</v>
      </c>
      <c r="G5" s="34" t="str">
        <f>IF($B$9="Maand","Maart", "27-02-2023 - 26-03-2023")</f>
        <v>Maart</v>
      </c>
      <c r="H5" s="34" t="str">
        <f>IF($B$9="Maand","April", "27-03-2023 - 23-04-2023")</f>
        <v>April</v>
      </c>
      <c r="I5" s="34" t="str">
        <f>IF($B$9="Maand","Mei", "24-04-2023 - 21-05-2023")</f>
        <v>Mei</v>
      </c>
      <c r="J5" s="34" t="str">
        <f>IF($B$9="Maand","Juni", "22-05-2023 - 18-06-2023")</f>
        <v>Juni</v>
      </c>
      <c r="K5" s="34" t="str">
        <f>IF($B$9="Maand","Juli", "19-06-2023 - 16-07-2023")</f>
        <v>Juli</v>
      </c>
      <c r="L5" s="34" t="str">
        <f>IF($B$9="Maand","Augustus", "17-07-2023 - 13-08-2023")</f>
        <v>Augustus</v>
      </c>
      <c r="M5" s="34" t="str">
        <f>IF($B$9="Maand","September", "14-08-2023 - 10-09-2023")</f>
        <v>September</v>
      </c>
      <c r="N5" s="34" t="str">
        <f>IF($B$9="Maand","Oktober", "11-09-2023 - 08-10-2023")</f>
        <v>Oktober</v>
      </c>
      <c r="O5" s="34" t="str">
        <f>IF($B$9="Maand","November", "09-10-2023 - 05-11-2023")</f>
        <v>November</v>
      </c>
      <c r="P5" s="34" t="str">
        <f>IF($B$9="Maand","December", "06-11-2023 - 03-12-2023")</f>
        <v>December</v>
      </c>
      <c r="Q5" s="34" t="str">
        <f>IF($B$9="Maand","", "04-12-2023 - 31-12-2023")</f>
        <v/>
      </c>
      <c r="R5" s="29"/>
      <c r="S5" s="24" t="s">
        <v>11</v>
      </c>
      <c r="T5" s="29"/>
    </row>
    <row r="6" spans="1:20" x14ac:dyDescent="0.25">
      <c r="B6" s="18" t="s">
        <v>18</v>
      </c>
      <c r="C6" s="30"/>
      <c r="D6" s="3" t="s">
        <v>0</v>
      </c>
      <c r="E6" s="8">
        <v>3000</v>
      </c>
      <c r="F6" s="8">
        <v>3000</v>
      </c>
      <c r="G6" s="8">
        <v>3000</v>
      </c>
      <c r="H6" s="8">
        <v>3000</v>
      </c>
      <c r="I6" s="8">
        <v>3000</v>
      </c>
      <c r="J6" s="8">
        <v>3000</v>
      </c>
      <c r="K6" s="8">
        <v>3000</v>
      </c>
      <c r="L6" s="8">
        <v>3000</v>
      </c>
      <c r="M6" s="8">
        <v>3000</v>
      </c>
      <c r="N6" s="8">
        <v>3000</v>
      </c>
      <c r="O6" s="8">
        <v>3000</v>
      </c>
      <c r="P6" s="8">
        <v>3000</v>
      </c>
      <c r="Q6" s="8">
        <v>0</v>
      </c>
      <c r="R6" s="30"/>
      <c r="S6" s="10">
        <f>IF((_xlfn.DAYS(B19,B17)/_xlfn.DAYS(DATE(YEAR(B19),12,31),DATE(YEAR(B17),1,1)))&lt;1,(SUM(E8:Q8)-SUM(E9:Q9)-SUM(E11:Q11))/(_xlfn.DAYS(B19,B17)/_xlfn.DAYS(DATE(YEAR(B19),12,31),DATE(YEAR(B17),1,1)))+SUM(E11:Q11),(SUM(E8:Q8)-SUM(E9:Q9))/(_xlfn.DAYS(B19,B17)/(_xlfn.DAYS(DATE(YEAR(B19),12,31),DATE(YEAR(B17),1,1)))))</f>
        <v>41880</v>
      </c>
    </row>
    <row r="7" spans="1:20" x14ac:dyDescent="0.25">
      <c r="B7" s="18" t="s">
        <v>4</v>
      </c>
      <c r="C7" s="30"/>
      <c r="D7" s="3" t="s">
        <v>14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30"/>
      <c r="S7" s="10"/>
    </row>
    <row r="8" spans="1:20" x14ac:dyDescent="0.25">
      <c r="B8" s="18" t="s">
        <v>21</v>
      </c>
      <c r="C8" s="30"/>
      <c r="D8" s="3" t="s">
        <v>1</v>
      </c>
      <c r="E8" s="9">
        <f>E6+E7+E11+E9</f>
        <v>3000</v>
      </c>
      <c r="F8" s="9">
        <f t="shared" ref="F8:Q8" si="2">F6+F7+F11+F9</f>
        <v>3000</v>
      </c>
      <c r="G8" s="9">
        <f t="shared" si="2"/>
        <v>3000</v>
      </c>
      <c r="H8" s="9">
        <f>H6+H7+H11+H9</f>
        <v>3000</v>
      </c>
      <c r="I8" s="9">
        <f t="shared" si="2"/>
        <v>5880</v>
      </c>
      <c r="J8" s="9">
        <f t="shared" si="2"/>
        <v>3000</v>
      </c>
      <c r="K8" s="9">
        <f t="shared" si="2"/>
        <v>3300</v>
      </c>
      <c r="L8" s="9">
        <f t="shared" si="2"/>
        <v>3000</v>
      </c>
      <c r="M8" s="9">
        <f t="shared" si="2"/>
        <v>3000</v>
      </c>
      <c r="N8" s="9">
        <f t="shared" si="2"/>
        <v>3000</v>
      </c>
      <c r="O8" s="9">
        <f t="shared" si="2"/>
        <v>6000</v>
      </c>
      <c r="P8" s="9">
        <f t="shared" si="2"/>
        <v>3000</v>
      </c>
      <c r="Q8" s="9">
        <f t="shared" si="2"/>
        <v>0</v>
      </c>
      <c r="R8" s="30"/>
      <c r="S8" s="2"/>
    </row>
    <row r="9" spans="1:20" x14ac:dyDescent="0.25">
      <c r="B9" s="18" t="s">
        <v>16</v>
      </c>
      <c r="C9" s="30"/>
      <c r="D9" s="3" t="s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300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0"/>
      <c r="S9" s="2"/>
    </row>
    <row r="10" spans="1:20" x14ac:dyDescent="0.25">
      <c r="B10" s="17" t="s">
        <v>31</v>
      </c>
      <c r="C10" s="30"/>
      <c r="D10" s="3" t="s">
        <v>13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30"/>
      <c r="S10" s="21" t="s">
        <v>25</v>
      </c>
    </row>
    <row r="11" spans="1:20" x14ac:dyDescent="0.25">
      <c r="B11" s="35">
        <v>66956</v>
      </c>
      <c r="C11" s="30"/>
      <c r="D11" s="3" t="s">
        <v>3</v>
      </c>
      <c r="E11" s="8">
        <v>0</v>
      </c>
      <c r="F11" s="8">
        <v>0</v>
      </c>
      <c r="G11" s="8">
        <v>0</v>
      </c>
      <c r="H11" s="8">
        <v>0</v>
      </c>
      <c r="I11" s="8">
        <v>2880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3000</v>
      </c>
      <c r="P11" s="8">
        <v>0</v>
      </c>
      <c r="Q11" s="8">
        <v>0</v>
      </c>
      <c r="R11" s="30"/>
      <c r="S11" s="10">
        <f>SUM(E22:Q22)</f>
        <v>269.28839999999997</v>
      </c>
    </row>
    <row r="12" spans="1:20" x14ac:dyDescent="0.25">
      <c r="B12" s="17" t="s">
        <v>29</v>
      </c>
      <c r="C12" s="30"/>
      <c r="D12" s="3" t="s">
        <v>4</v>
      </c>
      <c r="E12" s="9">
        <f>ROUND(IF($B$7="Opbouw vakantiegeld",0.08*(E8-E13-E15), 0),2)</f>
        <v>240</v>
      </c>
      <c r="F12" s="9">
        <f t="shared" ref="F12:G12" si="3">ROUND(IF($B$7="Opbouw vakantiegeld",0.08*(F8-F13-F15), 0),2)</f>
        <v>240</v>
      </c>
      <c r="G12" s="9">
        <f t="shared" si="3"/>
        <v>240</v>
      </c>
      <c r="H12" s="9">
        <f>ROUND(IF($B$7="Opbouw vakantiegeld",0.08*(H8-H13-H15), 0),2)</f>
        <v>240</v>
      </c>
      <c r="I12" s="9">
        <f t="shared" ref="I12:Q12" si="4">ROUND(IF($B$7="Opbouw vakantiegeld",0.08*(I8-I13-I15), 0),2)</f>
        <v>240</v>
      </c>
      <c r="J12" s="9">
        <f t="shared" si="4"/>
        <v>240</v>
      </c>
      <c r="K12" s="9">
        <f t="shared" si="4"/>
        <v>264</v>
      </c>
      <c r="L12" s="9">
        <f t="shared" si="4"/>
        <v>240</v>
      </c>
      <c r="M12" s="9">
        <f t="shared" si="4"/>
        <v>240</v>
      </c>
      <c r="N12" s="9">
        <f t="shared" si="4"/>
        <v>240</v>
      </c>
      <c r="O12" s="9">
        <f t="shared" si="4"/>
        <v>240</v>
      </c>
      <c r="P12" s="9">
        <f t="shared" si="4"/>
        <v>240</v>
      </c>
      <c r="Q12" s="9">
        <f t="shared" si="4"/>
        <v>0</v>
      </c>
      <c r="R12" s="30"/>
      <c r="S12" s="21" t="s">
        <v>12</v>
      </c>
    </row>
    <row r="13" spans="1:20" x14ac:dyDescent="0.25">
      <c r="B13" s="19">
        <v>6.43E-3</v>
      </c>
      <c r="C13" s="30"/>
      <c r="D13" s="3" t="s">
        <v>5</v>
      </c>
      <c r="E13" s="8">
        <v>0</v>
      </c>
      <c r="F13" s="8">
        <v>0</v>
      </c>
      <c r="G13" s="8">
        <v>0</v>
      </c>
      <c r="H13" s="8">
        <v>0</v>
      </c>
      <c r="I13" s="8">
        <v>2880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30"/>
      <c r="S13" s="10">
        <f>B13*S6</f>
        <v>269.28840000000002</v>
      </c>
    </row>
    <row r="14" spans="1:20" x14ac:dyDescent="0.25">
      <c r="B14" s="17" t="s">
        <v>30</v>
      </c>
      <c r="C14" s="30"/>
      <c r="D14" s="3" t="s">
        <v>21</v>
      </c>
      <c r="E14" s="9">
        <f>ROUND(IF($B$8="Opbouw 13e maand",0.083333*(E8-E13-E15),0),2)</f>
        <v>250</v>
      </c>
      <c r="F14" s="9">
        <f t="shared" ref="F14:Q14" si="5">ROUND(IF($B$8="Opbouw 13e maand",0.083333*(F8-F13-F15),0),2)</f>
        <v>250</v>
      </c>
      <c r="G14" s="9">
        <f t="shared" si="5"/>
        <v>250</v>
      </c>
      <c r="H14" s="9">
        <f t="shared" si="5"/>
        <v>250</v>
      </c>
      <c r="I14" s="9">
        <f t="shared" si="5"/>
        <v>250</v>
      </c>
      <c r="J14" s="9">
        <f t="shared" si="5"/>
        <v>250</v>
      </c>
      <c r="K14" s="9">
        <f t="shared" si="5"/>
        <v>275</v>
      </c>
      <c r="L14" s="9">
        <f t="shared" si="5"/>
        <v>250</v>
      </c>
      <c r="M14" s="9">
        <f t="shared" si="5"/>
        <v>250</v>
      </c>
      <c r="N14" s="9">
        <f t="shared" si="5"/>
        <v>250</v>
      </c>
      <c r="O14" s="9">
        <f t="shared" si="5"/>
        <v>250</v>
      </c>
      <c r="P14" s="9">
        <f t="shared" si="5"/>
        <v>250</v>
      </c>
      <c r="Q14" s="9">
        <f t="shared" si="5"/>
        <v>0</v>
      </c>
      <c r="R14" s="30"/>
      <c r="S14" s="21" t="s">
        <v>27</v>
      </c>
    </row>
    <row r="15" spans="1:20" x14ac:dyDescent="0.25">
      <c r="B15" s="19">
        <v>3.0800000000000001E-2</v>
      </c>
      <c r="C15" s="30"/>
      <c r="D15" s="3" t="s">
        <v>22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3000</v>
      </c>
      <c r="P15" s="8">
        <v>0</v>
      </c>
      <c r="Q15" s="8">
        <v>0</v>
      </c>
      <c r="R15" s="30"/>
      <c r="S15" s="10">
        <f>S11-S13</f>
        <v>0</v>
      </c>
    </row>
    <row r="16" spans="1:20" x14ac:dyDescent="0.25">
      <c r="B16" s="17" t="s">
        <v>23</v>
      </c>
      <c r="C16" s="30"/>
      <c r="D16" s="3" t="s">
        <v>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30"/>
      <c r="S16" s="10"/>
    </row>
    <row r="17" spans="2:19" x14ac:dyDescent="0.25">
      <c r="B17" s="20">
        <v>44927</v>
      </c>
      <c r="C17" s="30"/>
      <c r="D17" s="3" t="s">
        <v>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30"/>
      <c r="S17" s="2"/>
    </row>
    <row r="18" spans="2:19" x14ac:dyDescent="0.25">
      <c r="B18" s="17" t="s">
        <v>24</v>
      </c>
      <c r="C18" s="30"/>
      <c r="D18" s="3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0"/>
      <c r="S18" s="21" t="s">
        <v>26</v>
      </c>
    </row>
    <row r="19" spans="2:19" x14ac:dyDescent="0.25">
      <c r="B19" s="20">
        <v>45291</v>
      </c>
      <c r="C19" s="30"/>
      <c r="D19" s="4" t="s">
        <v>17</v>
      </c>
      <c r="E19" s="12">
        <f>IF($B$9="Maand",12,13.05)*IF($B$7="Opbouw vakantiegeld",1.08,1)+IF($B$8="Opbouw 13e maand",1,0)</f>
        <v>13.96</v>
      </c>
      <c r="F19" s="12">
        <f t="shared" ref="F19:Q19" si="6">IF($B$9="Maand",12,13.05)*IF($B$7="Opbouw vakantiegeld",1.08,1)+IF($B$8="Opbouw 13e maand",1,0)</f>
        <v>13.96</v>
      </c>
      <c r="G19" s="12">
        <f t="shared" si="6"/>
        <v>13.96</v>
      </c>
      <c r="H19" s="12">
        <f t="shared" si="6"/>
        <v>13.96</v>
      </c>
      <c r="I19" s="12">
        <f t="shared" si="6"/>
        <v>13.96</v>
      </c>
      <c r="J19" s="12">
        <f t="shared" si="6"/>
        <v>13.96</v>
      </c>
      <c r="K19" s="12">
        <f t="shared" si="6"/>
        <v>13.96</v>
      </c>
      <c r="L19" s="12">
        <f t="shared" si="6"/>
        <v>13.96</v>
      </c>
      <c r="M19" s="12">
        <f t="shared" si="6"/>
        <v>13.96</v>
      </c>
      <c r="N19" s="12">
        <f t="shared" si="6"/>
        <v>13.96</v>
      </c>
      <c r="O19" s="12">
        <f t="shared" si="6"/>
        <v>13.96</v>
      </c>
      <c r="P19" s="12">
        <f t="shared" si="6"/>
        <v>13.96</v>
      </c>
      <c r="Q19" s="12">
        <f t="shared" si="6"/>
        <v>13.96</v>
      </c>
      <c r="R19" s="30"/>
      <c r="S19" s="10">
        <f>SUM(E23:Q23)</f>
        <v>0</v>
      </c>
    </row>
    <row r="20" spans="2:19" x14ac:dyDescent="0.25">
      <c r="B20" s="16"/>
      <c r="C20" s="30"/>
      <c r="D20" s="4" t="s">
        <v>19</v>
      </c>
      <c r="E20" s="13">
        <f t="shared" ref="E20:O20" si="7">IF($B$9="Maand",MAX(DAYS360(MAX(E1,$B$17),E2+1),0),MAX(DAYS360(MAX(E3,$B$17),E4+1),0))</f>
        <v>30</v>
      </c>
      <c r="F20" s="13">
        <f t="shared" si="7"/>
        <v>30</v>
      </c>
      <c r="G20" s="13">
        <f t="shared" si="7"/>
        <v>30</v>
      </c>
      <c r="H20" s="13">
        <f t="shared" si="7"/>
        <v>30</v>
      </c>
      <c r="I20" s="13">
        <f t="shared" si="7"/>
        <v>30</v>
      </c>
      <c r="J20" s="13">
        <f t="shared" si="7"/>
        <v>30</v>
      </c>
      <c r="K20" s="13">
        <f t="shared" si="7"/>
        <v>30</v>
      </c>
      <c r="L20" s="13">
        <f t="shared" si="7"/>
        <v>30</v>
      </c>
      <c r="M20" s="13">
        <f t="shared" si="7"/>
        <v>30</v>
      </c>
      <c r="N20" s="13">
        <f t="shared" si="7"/>
        <v>30</v>
      </c>
      <c r="O20" s="13">
        <f t="shared" si="7"/>
        <v>30</v>
      </c>
      <c r="P20" s="13">
        <f>IF($B$9="Maand",MAX(DAYS360(MAX(P1,$B$17),P2+1),0),MAX(DAYS360(MAX(P3,$B$17),P4+1),0))</f>
        <v>30</v>
      </c>
      <c r="Q20" s="13">
        <f>IF($B$9="Maand",MAX(DAYS360(MAX(Q1,$B$17),Q2+1),0),MAX(DAYS360(MAX(Q3,$B$17),Q4+1),0))</f>
        <v>0</v>
      </c>
      <c r="R20" s="30"/>
      <c r="S20" s="21" t="s">
        <v>28</v>
      </c>
    </row>
    <row r="21" spans="2:19" x14ac:dyDescent="0.25">
      <c r="B21" s="15"/>
      <c r="C21" s="30"/>
      <c r="D21" s="4" t="s">
        <v>8</v>
      </c>
      <c r="E21" s="14">
        <f>IF($B$6="Contractant",(E6*E19)+E10,E7*E19)</f>
        <v>41880</v>
      </c>
      <c r="F21" s="14">
        <f>IF($B$6="Contractant",(F6*F19)+F10,F7*F19)</f>
        <v>41880</v>
      </c>
      <c r="G21" s="14">
        <f t="shared" ref="G21:Q21" si="8">IF($B$6="Contractant",(G6*G19)+G10,G7*G19)</f>
        <v>41880</v>
      </c>
      <c r="H21" s="14">
        <f t="shared" si="8"/>
        <v>41880</v>
      </c>
      <c r="I21" s="14">
        <f>IF($B$6="Contractant",(I6*I19)+I10,I7*I19)</f>
        <v>41880</v>
      </c>
      <c r="J21" s="14">
        <f t="shared" si="8"/>
        <v>41880</v>
      </c>
      <c r="K21" s="14">
        <f>IF($B$6="Contractant",(K6*K19)+K10,K7*K19)</f>
        <v>41880</v>
      </c>
      <c r="L21" s="14">
        <f t="shared" si="8"/>
        <v>41880</v>
      </c>
      <c r="M21" s="14">
        <f t="shared" si="8"/>
        <v>41880</v>
      </c>
      <c r="N21" s="14">
        <f t="shared" si="8"/>
        <v>41880</v>
      </c>
      <c r="O21" s="14">
        <f t="shared" si="8"/>
        <v>41880</v>
      </c>
      <c r="P21" s="14">
        <f t="shared" si="8"/>
        <v>41880</v>
      </c>
      <c r="Q21" s="14">
        <f t="shared" si="8"/>
        <v>0</v>
      </c>
      <c r="R21" s="30"/>
      <c r="S21" s="11">
        <f>B15*(MAX(S6,66956)-66956)</f>
        <v>0</v>
      </c>
    </row>
    <row r="22" spans="2:19" x14ac:dyDescent="0.25">
      <c r="B22" s="15"/>
      <c r="C22" s="30"/>
      <c r="D22" s="4" t="s">
        <v>9</v>
      </c>
      <c r="E22" s="14">
        <f t="shared" ref="E22:Q22" si="9">((E21*$B$13)/360)*E20</f>
        <v>22.4407</v>
      </c>
      <c r="F22" s="14">
        <f t="shared" si="9"/>
        <v>22.4407</v>
      </c>
      <c r="G22" s="14">
        <f t="shared" si="9"/>
        <v>22.4407</v>
      </c>
      <c r="H22" s="14">
        <f t="shared" si="9"/>
        <v>22.4407</v>
      </c>
      <c r="I22" s="14">
        <f t="shared" si="9"/>
        <v>22.4407</v>
      </c>
      <c r="J22" s="14">
        <f t="shared" si="9"/>
        <v>22.4407</v>
      </c>
      <c r="K22" s="14">
        <f t="shared" si="9"/>
        <v>22.4407</v>
      </c>
      <c r="L22" s="14">
        <f t="shared" si="9"/>
        <v>22.4407</v>
      </c>
      <c r="M22" s="14">
        <f t="shared" si="9"/>
        <v>22.4407</v>
      </c>
      <c r="N22" s="14">
        <f t="shared" si="9"/>
        <v>22.4407</v>
      </c>
      <c r="O22" s="14">
        <f t="shared" si="9"/>
        <v>22.4407</v>
      </c>
      <c r="P22" s="14">
        <f t="shared" si="9"/>
        <v>22.4407</v>
      </c>
      <c r="Q22" s="14">
        <f t="shared" si="9"/>
        <v>0</v>
      </c>
      <c r="R22" s="32"/>
      <c r="S22" s="21" t="s">
        <v>27</v>
      </c>
    </row>
    <row r="23" spans="2:19" x14ac:dyDescent="0.25">
      <c r="B23" s="15"/>
      <c r="C23" s="30"/>
      <c r="D23" s="4" t="s">
        <v>10</v>
      </c>
      <c r="E23" s="14">
        <f>((MAX(E21,$B$11)-$B$11)*$B$15)/360*E20</f>
        <v>0</v>
      </c>
      <c r="F23" s="14">
        <f t="shared" ref="F23:Q23" si="10">((MAX(F21,$B$11)-$B$11)*$B$15)/360*F20</f>
        <v>0</v>
      </c>
      <c r="G23" s="14">
        <f t="shared" si="10"/>
        <v>0</v>
      </c>
      <c r="H23" s="14">
        <f t="shared" si="10"/>
        <v>0</v>
      </c>
      <c r="I23" s="14">
        <f t="shared" si="10"/>
        <v>0</v>
      </c>
      <c r="J23" s="14">
        <f t="shared" si="10"/>
        <v>0</v>
      </c>
      <c r="K23" s="14">
        <f t="shared" si="10"/>
        <v>0</v>
      </c>
      <c r="L23" s="14">
        <f t="shared" si="10"/>
        <v>0</v>
      </c>
      <c r="M23" s="14">
        <f t="shared" si="10"/>
        <v>0</v>
      </c>
      <c r="N23" s="14">
        <f t="shared" si="10"/>
        <v>0</v>
      </c>
      <c r="O23" s="14">
        <f t="shared" si="10"/>
        <v>0</v>
      </c>
      <c r="P23" s="14">
        <f t="shared" si="10"/>
        <v>0</v>
      </c>
      <c r="Q23" s="14">
        <f t="shared" si="10"/>
        <v>0</v>
      </c>
      <c r="R23" s="30"/>
      <c r="S23" s="10">
        <f>S19-S21</f>
        <v>0</v>
      </c>
    </row>
    <row r="24" spans="2:19" s="30" customFormat="1" x14ac:dyDescent="0.25"/>
    <row r="25" spans="2:19" x14ac:dyDescent="0.25">
      <c r="E25" s="5"/>
      <c r="F25" s="5"/>
      <c r="G25" s="5"/>
    </row>
    <row r="26" spans="2:19" x14ac:dyDescent="0.25">
      <c r="F26" s="6"/>
    </row>
    <row r="27" spans="2:19" x14ac:dyDescent="0.25">
      <c r="D27" s="5"/>
    </row>
    <row r="28" spans="2:19" x14ac:dyDescent="0.25">
      <c r="D28" s="1"/>
    </row>
  </sheetData>
  <dataValidations count="4">
    <dataValidation type="list" allowBlank="1" showInputMessage="1" showErrorMessage="1" sqref="B6" xr:uid="{AC08E376-9E48-A246-AAF1-F90C263699FD}">
      <formula1>"Oproepkracht,Contractant"</formula1>
    </dataValidation>
    <dataValidation type="list" allowBlank="1" showInputMessage="1" showErrorMessage="1" sqref="B7" xr:uid="{1708A4A8-6765-944C-8F2D-02192722F7EB}">
      <formula1>"Opbouw vakantiegeld,Geen vakantiegeld,Betaling vakantiegeld maandelijks"</formula1>
    </dataValidation>
    <dataValidation type="list" allowBlank="1" showInputMessage="1" showErrorMessage="1" sqref="B8" xr:uid="{4E754BE8-6F6D-8F42-AC0B-DB82D23CCBAC}">
      <formula1>"Opbouw 13e maand, Geen 13e maand"</formula1>
    </dataValidation>
    <dataValidation type="list" allowBlank="1" showInputMessage="1" showErrorMessage="1" sqref="B9" xr:uid="{01CD01A9-2268-C94B-83E6-BC119D78BEDD}">
      <formula1>"Maand,4 weken"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Van oosten</dc:creator>
  <cp:lastModifiedBy>Lars Driessen</cp:lastModifiedBy>
  <dcterms:created xsi:type="dcterms:W3CDTF">2023-01-30T09:43:06Z</dcterms:created>
  <dcterms:modified xsi:type="dcterms:W3CDTF">2023-02-21T10:31:24Z</dcterms:modified>
</cp:coreProperties>
</file>